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epQ2Z7j79l0DLSGCXJSQMkwLzwN18SWuLldLpB6wcGxDDdAvxzslcsOz+YBae13RnhKznBpZNkospf3z4fUn3g==" workbookSaltValue="f+rJiaWBvb2hTGfr/lUY6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BH11" i="16" s="1"/>
  <c r="EP19" i="8"/>
  <c r="ER19" i="13"/>
  <c r="AL13" i="16"/>
  <c r="AJ13" i="16"/>
  <c r="EP19" i="19"/>
  <c r="S13" i="16"/>
  <c r="P13" i="16"/>
  <c r="AM13" i="20"/>
  <c r="K18" i="2"/>
  <c r="M13" i="2"/>
  <c r="M18" i="2"/>
  <c r="N13" i="2"/>
  <c r="N18" i="2"/>
  <c r="T13" i="12"/>
  <c r="AP17" i="20"/>
  <c r="BU10" i="17"/>
  <c r="BW11" i="20"/>
  <c r="BU16" i="17"/>
  <c r="T13" i="16"/>
  <c r="AZ12" i="11"/>
  <c r="BH10" i="11"/>
  <c r="BH10" i="16"/>
  <c r="BH16" i="11"/>
  <c r="T13" i="20"/>
  <c r="BF15" i="8"/>
  <c r="BF9" i="8"/>
  <c r="AU18" i="21"/>
  <c r="AH13" i="16"/>
  <c r="L16" i="2"/>
  <c r="AP13" i="16"/>
  <c r="T18" i="17"/>
  <c r="BG15" i="13"/>
  <c r="BE16" i="13"/>
  <c r="BE15" i="13"/>
  <c r="AX20" i="20"/>
  <c r="S19" i="8" l="1"/>
  <c r="AB13" i="21"/>
  <c r="BG15" i="11"/>
  <c r="BI15" i="11"/>
  <c r="BL17" i="11"/>
  <c r="T9" i="11"/>
  <c r="V9" i="16"/>
  <c r="U9" i="17"/>
  <c r="U19" i="17" s="1"/>
  <c r="BJ16" i="11"/>
  <c r="BM17" i="11"/>
  <c r="AQ10" i="21"/>
  <c r="BG12" i="11"/>
  <c r="BW10" i="20"/>
  <c r="BW12" i="20"/>
  <c r="BU11" i="17"/>
  <c r="BK17" i="11"/>
  <c r="BJ12" i="11"/>
  <c r="V11" i="11"/>
  <c r="BH17" i="16"/>
  <c r="AL16" i="11"/>
  <c r="C16" i="6"/>
  <c r="BE9" i="13"/>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15" i="14"/>
  <c r="V15"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9" i="14"/>
  <c r="V9"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Q9"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G19" i="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<sst xmlns="http://schemas.openxmlformats.org/spreadsheetml/2006/main" count="2102" uniqueCount="918">
  <si>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</si>
  <si>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</si>
  <si>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</si>
  <si>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</si>
  <si>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</si>
  <si>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</si>
  <si>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</si>
  <si>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</si>
  <si>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</si>
  <si>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</si>
  <si>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</si>
  <si>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</si>
  <si>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</si>
  <si>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</si>
  <si>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</si>
  <si>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</si>
  <si>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</si>
  <si>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</si>
  <si>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</si>
  <si>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</si>
  <si>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</si>
  <si>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</si>
  <si>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</si>
  <si>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</si>
  <si>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</si>
  <si>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</si>
  <si>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</si>
  <si>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</si>
  <si>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</si>
  <si>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</si>
  <si>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</si>
  <si>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</si>
  <si>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</si>
  <si>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</si>
  <si>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</si>
  <si>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</si>
  <si>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</si>
  <si>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</si>
  <si>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</si>
  <si>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</si>
  <si>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</si>
  <si>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</si>
  <si>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</si>
  <si>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</si>
  <si>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</si>
  <si>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</si>
  <si>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</si>
  <si>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</si>
  <si>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</si>
  <si>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</si>
  <si>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</si>
  <si>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</si>
  <si>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</si>
  <si>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</si>
  <si>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</si>
  <si>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</si>
  <si>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</si>
  <si>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</si>
  <si>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</si>
  <si>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</si>
  <si>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</si>
  <si>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</si>
  <si>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</si>
  <si>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</si>
  <si>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</si>
  <si>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</si>
  <si>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</si>
  <si>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</si>
  <si>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</si>
  <si>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</si>
  <si>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</si>
  <si>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</si>
  <si>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</si>
  <si>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</si>
  <si>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</si>
  <si>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</si>
  <si>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</si>
  <si>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</si>
  <si>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</si>
  <si>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</si>
  <si>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</si>
  <si>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</si>
  <si>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</si>
  <si>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</si>
  <si>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</si>
  <si>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</si>
  <si>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</si>
  <si>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</si>
  <si>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</si>
  <si>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</si>
  <si>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</si>
  <si>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</si>
  <si>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</si>
  <si>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</si>
  <si>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</si>
  <si>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</si>
  <si>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</si>
  <si>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</si>
  <si>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</si>
  <si>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</si>
  <si>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</si>
  <si>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</si>
  <si>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</si>
  <si>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</si>
  <si>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</si>
  <si>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</si>
  <si>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</si>
  <si>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</si>
  <si>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</si>
  <si>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</si>
  <si>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</si>
  <si>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</si>
  <si>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</si>
  <si>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</si>
  <si>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</si>
  <si>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</si>
  <si>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</si>
  <si>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</si>
  <si>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</si>
  <si>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</si>
  <si>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</si>
  <si>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</si>
  <si>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</si>
  <si>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</si>
  <si>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</si>
  <si>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</si>
  <si>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</si>
  <si>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</si>
  <si>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</si>
  <si>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</si>
  <si>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</si>
  <si>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</si>
  <si>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</si>
  <si>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</si>
  <si>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</si>
  <si>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</si>
  <si>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</si>
  <si>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</si>
  <si>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</si>
  <si>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</si>
  <si>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</si>
  <si>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</si>
  <si>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</si>
  <si>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</si>
  <si>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</si>
  <si>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</si>
  <si>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</si>
  <si>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</si>
  <si>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</si>
  <si>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</si>
  <si>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</si>
  <si>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</si>
  <si>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</si>
  <si>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</si>
  <si>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</si>
  <si>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</si>
  <si>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</si>
  <si>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</si>
  <si>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</si>
  <si>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</si>
  <si>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</si>
  <si>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</si>
  <si>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</si>
  <si>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</si>
  <si>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</si>
  <si>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</si>
  <si>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</si>
  <si>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</si>
  <si>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</si>
  <si>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</si>
  <si>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</si>
  <si>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</si>
  <si>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</si>
  <si>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</si>
  <si>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</si>
  <si>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</si>
  <si>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</si>
  <si>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</si>
  <si>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</si>
  <si>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</si>
  <si>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</si>
  <si>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</si>
  <si>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</si>
  <si>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</si>
  <si>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</si>
  <si>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</si>
  <si>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</si>
  <si>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</si>
  <si>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</si>
  <si>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</si>
  <si>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</si>
  <si>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</si>
  <si>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</si>
  <si>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</si>
  <si>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</si>
  <si>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</si>
  <si>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</si>
  <si>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</si>
  <si>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</si>
  <si>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</si>
  <si>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</si>
  <si>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</si>
  <si>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</si>
  <si>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</si>
  <si>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</si>
  <si>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</si>
  <si>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</si>
  <si>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</si>
  <si>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</si>
  <si>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</si>
  <si>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</si>
  <si>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</si>
  <si>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</si>
  <si>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</si>
  <si>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</si>
  <si>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</si>
  <si>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</si>
  <si>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</si>
  <si>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</si>
  <si>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</si>
  <si>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</si>
  <si>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</si>
  <si>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</si>
  <si>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</si>
  <si>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</si>
  <si>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</si>
  <si>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</si>
  <si>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</si>
  <si>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</si>
  <si>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</si>
  <si>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</si>
  <si>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</si>
  <si>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</si>
  <si>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</si>
  <si>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</si>
  <si>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</si>
  <si>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</si>
  <si>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</si>
  <si>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</si>
  <si>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</si>
  <si>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</si>
  <si>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</si>
  <si>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</si>
  <si>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</si>
  <si>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</si>
  <si>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</si>
  <si>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</si>
  <si>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</si>
  <si>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</si>
  <si>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</si>
  <si>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</si>
  <si>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</si>
  <si>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</si>
  <si>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</si>
  <si>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</si>
  <si>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</si>
  <si>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</si>
  <si>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</si>
  <si>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</si>
  <si>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</si>
  <si>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</si>
  <si>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</si>
  <si>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</si>
  <si>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</si>
  <si>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</si>
  <si>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</si>
  <si>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</si>
  <si>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</si>
  <si>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</si>
  <si>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</si>
  <si>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</si>
  <si>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</si>
  <si>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</si>
  <si>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</si>
  <si>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</si>
  <si>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</si>
  <si>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</si>
  <si>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</si>
  <si>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</si>
  <si>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</si>
  <si>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</si>
  <si>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</si>
  <si>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</si>
  <si>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</si>
  <si>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</si>
  <si>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</si>
  <si>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</si>
  <si>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</si>
  <si>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</si>
  <si>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</si>
  <si>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</si>
  <si>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</si>
  <si>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</si>
  <si>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</si>
  <si>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</si>
  <si>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</si>
  <si>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</si>
  <si>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</si>
  <si>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</si>
  <si>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</si>
  <si>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</si>
  <si>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</si>
  <si>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</si>
  <si>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</si>
  <si>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</si>
  <si>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</si>
  <si>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</si>
  <si>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</si>
  <si>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</si>
  <si>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</si>
  <si>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</si>
  <si>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</si>
  <si>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</si>
  <si>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</si>
  <si>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</si>
  <si>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</si>
  <si>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</si>
  <si>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</si>
  <si>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</si>
  <si>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</si>
  <si>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</si>
  <si>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</si>
  <si>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</si>
  <si>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</si>
  <si>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</si>
  <si>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</si>
  <si>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</si>
  <si>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</si>
  <si>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</si>
  <si>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</si>
  <si>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</si>
  <si>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</si>
  <si>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</si>
  <si>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</si>
  <si>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</si>
  <si>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</si>
  <si>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</si>
  <si>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</si>
  <si>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</si>
  <si>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</si>
  <si>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</si>
  <si>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</si>
  <si>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</si>
  <si>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</si>
  <si>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</si>
  <si>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</si>
  <si>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</si>
  <si>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</si>
  <si>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</si>
  <si>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</si>
  <si>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</si>
  <si>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</si>
  <si>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</si>
  <si>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</si>
  <si>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</si>
  <si>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</si>
  <si>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</si>
  <si>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</si>
  <si>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</si>
  <si>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</si>
  <si>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</si>
  <si>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</si>
  <si>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</si>
  <si>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</si>
  <si>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</si>
  <si>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</si>
  <si>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</si>
  <si>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</si>
  <si>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</si>
  <si>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</si>
  <si>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</si>
  <si>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</si>
  <si>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</si>
  <si>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</si>
  <si>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</si>
  <si>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</si>
  <si>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</si>
  <si>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</si>
  <si>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</si>
  <si>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</si>
  <si>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</si>
  <si>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</si>
  <si>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</si>
  <si>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</si>
  <si>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</si>
  <si>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</si>
  <si>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</si>
  <si>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</si>
  <si>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</si>
  <si>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</si>
  <si>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</si>
  <si>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</si>
  <si>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</si>
  <si>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</si>
  <si>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</si>
  <si>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</si>
  <si>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</si>
  <si>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</si>
  <si>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</si>
  <si>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</si>
  <si>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</si>
  <si>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</si>
  <si>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</si>
  <si>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</si>
  <si>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</si>
  <si>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</si>
  <si>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</si>
  <si>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</si>
  <si>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</si>
  <si>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</si>
  <si>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</si>
  <si>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</si>
  <si>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</si>
  <si>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</si>
  <si>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</si>
  <si>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</si>
  <si>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</si>
  <si>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</si>
  <si>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</si>
  <si>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</si>
  <si>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</si>
  <si>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</si>
  <si>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</si>
  <si>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</si>
  <si>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</si>
  <si>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</si>
  <si>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</si>
  <si>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</si>
  <si>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</si>
  <si>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</si>
  <si>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</si>
  <si>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</si>
  <si>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</si>
  <si>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</si>
  <si>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</si>
  <si>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</si>
  <si>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</si>
  <si>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</si>
  <si>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</si>
  <si>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</si>
  <si>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</si>
  <si>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</si>
  <si>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</si>
  <si>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</si>
  <si>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</si>
  <si>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</si>
  <si>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</si>
  <si>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</si>
  <si>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</si>
  <si>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</si>
  <si>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</si>
  <si>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</si>
  <si>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</si>
  <si>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</si>
  <si>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</si>
  <si>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</si>
  <si>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</si>
  <si>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</si>
  <si>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</si>
  <si>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</si>
  <si>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</si>
  <si>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</si>
  <si>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</si>
  <si>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</si>
  <si>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</si>
  <si>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</si>
  <si>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</si>
  <si>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</si>
  <si>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</si>
  <si>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</si>
  <si>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</si>
  <si>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</si>
  <si>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</si>
  <si>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</si>
  <si>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</si>
  <si>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</si>
  <si>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</si>
  <si>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</si>
  <si>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</si>
  <si>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</si>
  <si>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</si>
  <si>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</si>
  <si>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</si>
  <si>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</si>
  <si>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</si>
  <si>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</si>
  <si>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</si>
  <si>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</si>
  <si>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</si>
  <si>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</si>
  <si>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</si>
  <si>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</si>
  <si>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</si>
  <si>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</si>
  <si>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</si>
  <si>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</si>
  <si>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</si>
  <si>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</si>
  <si>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</si>
  <si>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</si>
  <si>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</si>
  <si>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</si>
  <si>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</si>
  <si>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</si>
  <si>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</si>
  <si>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</si>
  <si>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</si>
  <si>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</si>
  <si>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</si>
  <si>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</si>
  <si>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</si>
  <si>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</si>
  <si>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</si>
  <si>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</si>
  <si>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</si>
  <si>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</si>
  <si>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</si>
  <si>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</si>
  <si>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</si>
  <si>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</si>
  <si>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</si>
  <si>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</si>
  <si>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</si>
  <si>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</si>
  <si>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</si>
  <si>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</si>
  <si>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</si>
  <si>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</si>
  <si>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</si>
  <si>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</si>
  <si>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</si>
  <si>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</si>
  <si>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</si>
  <si>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</si>
  <si>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</si>
  <si>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</si>
  <si>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</si>
  <si>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</si>
  <si>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</si>
  <si>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</si>
  <si>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</si>
  <si>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</si>
  <si>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</si>
  <si>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</si>
  <si>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</si>
  <si>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</si>
  <si>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</si>
  <si>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</si>
  <si>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</si>
  <si>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</si>
  <si>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</si>
  <si>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</si>
  <si>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</si>
  <si>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</si>
  <si>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</si>
  <si>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</si>
  <si>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</si>
  <si>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</si>
  <si>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</si>
  <si>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</si>
  <si>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</si>
  <si>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</si>
  <si>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</si>
  <si>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</si>
  <si>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</si>
  <si>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</si>
  <si>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</si>
  <si>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</si>
  <si>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</si>
  <si>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</si>
  <si>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</si>
  <si>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</si>
  <si>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</si>
  <si>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</si>
  <si>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</si>
  <si>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</si>
  <si>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</si>
  <si>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</si>
  <si>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</si>
  <si>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</si>
  <si>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</si>
  <si>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</si>
  <si>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</si>
  <si>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</si>
  <si>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</si>
  <si>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</si>
  <si>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</si>
  <si>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</si>
  <si>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</si>
  <si>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</si>
  <si>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</si>
  <si>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</si>
  <si>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</si>
  <si>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</si>
  <si>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</si>
  <si>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</si>
  <si>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</si>
  <si>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</si>
  <si>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</si>
  <si>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</si>
  <si>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</si>
  <si>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</si>
  <si>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</si>
  <si>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</si>
  <si>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</si>
  <si>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</si>
  <si>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</si>
  <si>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</si>
  <si>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</si>
  <si>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</si>
  <si>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</si>
  <si>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</si>
  <si>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</si>
  <si>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</si>
  <si>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</si>
  <si>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</si>
  <si>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</si>
  <si>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</si>
  <si>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</si>
  <si>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</si>
  <si>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</si>
  <si>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</si>
  <si>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</si>
  <si>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</si>
  <si>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</si>
  <si>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</si>
  <si>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</si>
  <si>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</si>
  <si>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</si>
  <si>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</si>
  <si>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</si>
  <si>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</si>
  <si>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</si>
  <si>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</si>
  <si>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</si>
  <si>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</si>
  <si>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</si>
  <si>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</si>
  <si>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</si>
  <si>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</si>
  <si>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</si>
  <si>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</si>
  <si>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</si>
  <si>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</si>
  <si>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</si>
  <si>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</si>
  <si>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</si>
  <si>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</si>
  <si>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</si>
  <si>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</si>
  <si>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</si>
  <si>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</si>
  <si>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</si>
  <si>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</si>
  <si>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</si>
  <si>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</si>
  <si>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</si>
  <si>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</si>
  <si>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</si>
  <si>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</si>
  <si>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</si>
  <si>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</si>
  <si>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</si>
  <si>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</si>
  <si>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</si>
  <si>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</si>
  <si>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</si>
  <si>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</si>
  <si>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</si>
  <si>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</si>
  <si>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</si>
  <si>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</si>
  <si>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</si>
  <si>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</si>
  <si>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</si>
  <si>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</si>
  <si>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</si>
  <si>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</si>
  <si>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</si>
  <si>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</si>
  <si>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</si>
  <si>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</si>
  <si>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</si>
  <si>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</si>
  <si>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</si>
  <si>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</si>
  <si>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</si>
  <si>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</si>
  <si>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</si>
  <si>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</si>
  <si>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</si>
  <si>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</si>
  <si>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</si>
  <si>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</si>
  <si>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</si>
  <si>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</si>
  <si>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</si>
  <si>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</si>
  <si>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</si>
  <si>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</si>
  <si>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</si>
  <si>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</si>
  <si>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</si>
  <si>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</si>
  <si>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</si>
  <si>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</si>
  <si>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</si>
  <si>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</si>
  <si>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</si>
  <si>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</si>
  <si>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</si>
  <si>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</si>
  <si>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</si>
  <si>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</si>
  <si>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</si>
  <si>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</si>
  <si>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</si>
  <si>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</si>
  <si>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</si>
  <si>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</si>
  <si>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</si>
  <si>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</si>
  <si>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</si>
  <si>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</si>
  <si>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</si>
  <si>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</si>
  <si>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</si>
  <si>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</si>
  <si>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</si>
  <si>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</si>
  <si>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</si>
  <si>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</si>
  <si>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</si>
  <si>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</si>
  <si>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</si>
  <si>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</si>
  <si>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</si>
  <si>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</si>
  <si>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</si>
  <si>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</si>
  <si>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</si>
  <si>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</si>
  <si>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</si>
  <si>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</si>
  <si>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</si>
  <si>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</si>
  <si>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</si>
  <si>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</si>
  <si>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</si>
  <si>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</si>
  <si>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</si>
  <si>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</si>
  <si>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</si>
  <si>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</si>
  <si>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</si>
  <si>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</si>
  <si>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</si>
  <si>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</si>
  <si>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</si>
  <si>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</si>
  <si>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</si>
  <si>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</si>
  <si>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</si>
  <si>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</si>
  <si>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</si>
  <si>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</si>
  <si>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</si>
  <si>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</si>
  <si>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</si>
  <si>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</si>
  <si>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</si>
  <si>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</si>
  <si>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</si>
  <si>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</si>
  <si>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</si>
  <si>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</si>
  <si>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</si>
  <si>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</si>
  <si>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</si>
  <si>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</si>
  <si>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</si>
  <si>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</si>
  <si>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</si>
  <si>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</si>
  <si>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</si>
  <si>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</si>
  <si>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</si>
  <si>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</si>
  <si>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</si>
  <si>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</si>
  <si>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</si>
  <si>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</si>
  <si>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</si>
  <si>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</si>
  <si>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</si>
  <si>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</si>
  <si>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</si>
  <si>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</si>
  <si>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</si>
  <si>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</si>
  <si>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</si>
  <si>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</si>
  <si>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</si>
  <si>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</si>
  <si>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</si>
  <si>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</si>
  <si>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</si>
  <si>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</si>
  <si>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</si>
  <si>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</si>
  <si>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</si>
  <si>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</si>
  <si>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</si>
  <si>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</si>
  <si>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</si>
  <si>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</si>
  <si>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</si>
  <si>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</si>
  <si>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</si>
  <si>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</si>
  <si>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</si>
  <si>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</si>
  <si>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</si>
  <si>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</si>
  <si>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</si>
  <si>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</si>
  <si>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</si>
  <si>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</si>
  <si>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</si>
  <si>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</si>
  <si>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</si>
  <si>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</si>
  <si>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</si>
  <si>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</si>
  <si>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</si>
  <si>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</si>
  <si>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</si>
  <si>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</si>
  <si>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</si>
  <si>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</si>
  <si>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</si>
  <si>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</si>
  <si>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</si>
  <si>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</si>
  <si>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</si>
  <si>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</si>
  <si>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</si>
  <si>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</si>
  <si>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</si>
  <si>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</si>
  <si>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</si>
  <si>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</si>
  <si>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</si>
  <si>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</si>
  <si>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</si>
  <si>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</si>
  <si>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</si>
  <si>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</si>
  <si>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</si>
  <si>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</si>
  <si>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</si>
  <si>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</si>
  <si>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</si>
  <si>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</si>
  <si>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</si>
  <si>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</si>
  <si>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</si>
  <si>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</si>
  <si>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</si>
  <si>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</si>
  <si>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</si>
  <si>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</si>
  <si>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</si>
  <si>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</si>
  <si>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</si>
  <si>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</si>
  <si>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</si>
  <si>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</si>
  <si>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</si>
  <si>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</si>
  <si>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</si>
  <si>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</si>
  <si>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</si>
  <si>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</si>
  <si>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</si>
  <si>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</si>
  <si>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</si>
  <si>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</si>
  <si>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</si>
  <si>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</si>
  <si>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</si>
  <si>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</si>
  <si>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</si>
  <si>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</si>
  <si>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</si>
  <si>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</si>
  <si>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</si>
  <si>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</si>
  <si>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</si>
  <si>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</si>
  <si>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</si>
  <si>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</si>
  <si>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</si>
  <si>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</si>
  <si>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</si>
  <si>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</si>
  <si>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</si>
  <si>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</si>
  <si>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</si>
  <si>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</si>
  <si>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</si>
  <si>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</si>
  <si>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</si>
  <si>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REGION DE MURCIA</t>
  </si>
  <si>
    <t>Provincias</t>
  </si>
  <si>
    <t>MURCIA</t>
  </si>
  <si>
    <t>Resumenes por Partidos Judiciales</t>
  </si>
  <si>
    <t>JUMILLA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</si>
</sst>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BfP92InXq/aF6sii5SASrNq+VlwJvZOLZQXyzpc0GgnXCZzOoWtN/Xsi1io6Qi3uUzTGpgciKICktrx7GqfhA==" saltValue="OLZitllI1ENrTu+/n4JQh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42</v>
      </c>
      <c r="D10" s="225">
        <f>IF(ISNUMBER(Datos!I10),Datos!I10," - ")</f>
        <v>42</v>
      </c>
      <c r="E10" s="226">
        <f>IF(ISNUMBER(Datos!J10),Datos!J10," - ")</f>
        <v>3</v>
      </c>
      <c r="F10" s="226">
        <f>IF(ISNUMBER(Datos!K10),Datos!K10," - ")</f>
        <v>0</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7.1428571428571425E-2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59.806722689075634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42</v>
      </c>
      <c r="D13" s="1049">
        <f>SUBTOTAL(9,D9:D12)</f>
        <v>42</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1049</v>
      </c>
      <c r="D16" s="225">
        <f>IF(ISNUMBER(IF(D_I="SI",Datos!I16,Datos!I16+Datos!AC16)),IF(D_I="SI",Datos!I16,Datos!I16+Datos!AC16)," - ")</f>
        <v>1045</v>
      </c>
      <c r="E16" s="226">
        <f>IF(ISNUMBER(IF(D_I="SI",Datos!J16,Datos!J16+Datos!AD16)),IF(D_I="SI",Datos!J16,Datos!J16+Datos!AD16)," - ")</f>
        <v>425</v>
      </c>
      <c r="F16" s="226">
        <f>IF(ISNUMBER(IF(D_I="SI",Datos!K16,Datos!K16+Datos!AE16)),IF(D_I="SI",Datos!K16,Datos!K16+Datos!AE16)," - ")</f>
        <v>361</v>
      </c>
      <c r="G16" s="1034" t="str">
        <f>IF(Datos!E16&lt;&gt;"",Datos!E16,Datos!D16)</f>
        <v>04</v>
      </c>
      <c r="H16" s="227">
        <f>IF(ISNUMBER(IF(D_I="SI",Datos!L16,Datos!L16+Datos!AF16)),IF(D_I="SI",Datos!L16,Datos!L16+Datos!AF16)," - ")</f>
        <v>1113</v>
      </c>
      <c r="I16" s="1044" t="str">
        <f>IF(ISNUMBER(Datos!AS16/Datos!BM16),Datos!AS16/Datos!BM16," - ")</f>
        <v xml:space="preserve"> - </v>
      </c>
      <c r="J16" s="1045">
        <f>IF(ISNUMBER(Datos!BY16/Datos!CN16),Datos!BY16/Datos!CN16," - ")</f>
        <v>0</v>
      </c>
      <c r="K16" s="230">
        <f t="shared" si="3"/>
        <v>6.1010486177311724E-2</v>
      </c>
      <c r="L16" s="1025">
        <f>IF(ISNUMBER(NºAsuntos!I16/NºAsuntos!G16),(NºAsuntos!I16/NºAsuntos!G16)*11," - ")</f>
        <v>33.914127423822713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183</v>
      </c>
      <c r="D17" s="225">
        <f>IF(ISNUMBER(IF(D_I="SI",Datos!I17,Datos!I17+Datos!AC17)),IF(D_I="SI",Datos!I17,Datos!I17+Datos!AC17)," - ")</f>
        <v>183</v>
      </c>
      <c r="E17" s="226">
        <f>IF(ISNUMBER(IF(D_I="SI",Datos!J17,Datos!J17+Datos!AD17)),IF(D_I="SI",Datos!J17,Datos!J17+Datos!AD17)," - ")</f>
        <v>65</v>
      </c>
      <c r="F17" s="226">
        <f>IF(ISNUMBER(IF(D_I="SI",Datos!K17,Datos!K17+Datos!AE17)),IF(D_I="SI",Datos!K17,Datos!K17+Datos!AE17)," - ")</f>
        <v>66</v>
      </c>
      <c r="G17" s="1034" t="str">
        <f>IF(Datos!E17&lt;&gt;"",Datos!E17,Datos!D17)</f>
        <v>37</v>
      </c>
      <c r="H17" s="227">
        <f>IF(ISNUMBER(IF(D_I="SI",Datos!L17,Datos!L17+Datos!AF17)),IF(D_I="SI",Datos!L17,Datos!L17+Datos!AF17)," - ")</f>
        <v>182</v>
      </c>
      <c r="I17" s="1044" t="str">
        <f>IF(ISNUMBER(Datos!AS17/Datos!BM17),Datos!AS17/Datos!BM17," - ")</f>
        <v xml:space="preserve"> - </v>
      </c>
      <c r="J17" s="1045" t="str">
        <f>IF(ISNUMBER((Datos!BY17+Datos!BZ17)/Datos!CN17),(Datos!BY17+Datos!BZ17)/Datos!CN17," - ")</f>
        <v xml:space="preserve"> - </v>
      </c>
      <c r="K17" s="230">
        <f t="shared" si="3"/>
        <v>-5.4644808743169399E-3</v>
      </c>
      <c r="L17" s="1025">
        <f>IF(ISNUMBER(NºAsuntos!I17/NºAsuntos!G17),(NºAsuntos!I17/NºAsuntos!G17)*11," - ")</f>
        <v>30.333333333333336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1232</v>
      </c>
      <c r="D18" s="1049">
        <f>SUBTOTAL(9,D15:D17)</f>
        <v>1228</v>
      </c>
      <c r="E18" s="1050">
        <f>SUBTOTAL(9,E15:E17)</f>
        <v>490</v>
      </c>
      <c r="F18" s="1050">
        <f>SUBTOTAL(9,F15:F17)</f>
        <v>427</v>
      </c>
      <c r="G18" s="1052" t="str">
        <f ca="1">INDIRECT(CONCATENATE("G",ROW()-1))</f>
        <v>37</v>
      </c>
      <c r="H18" s="1053">
        <f ca="1">SUMIF(G$14:G17,G18,H$14:H17)</f>
        <v>182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1274</v>
      </c>
      <c r="D19" s="1071">
        <f>SUBTOTAL(9,D9:D18)</f>
        <v>1270</v>
      </c>
      <c r="E19" s="1072">
        <f>SUBTOTAL(9,E9:E18)</f>
        <v>493</v>
      </c>
      <c r="F19" s="1072">
        <f>SUBTOTAL(9,F9:F18)</f>
        <v>427</v>
      </c>
      <c r="G19" s="1073"/>
      <c r="H19" s="1074">
        <f ca="1">SUMIF(B9:B18,"TOTAL",H9:H18)</f>
        <v>182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fKHX7rl7yqBHGtHSjsWGIxdYLDW1nEVXPIJ2BxcJf5X2Imvz9XlCvzZimR7A1LPvt6/cQDH7dPJ0EhNX65EXw==" saltValue="gniNVVRy578aSxHdwT8e4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wN3wKsPlqslC3o/RiD3ZVLeNRE4jP0M4HXarAYZe0BDO0BypbyFywZDWp2KWDvsPIpMresDDrjt4a0+US5LhA==" saltValue="xBi6di4IHtGtmMAvKkVH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v>
      </c>
      <c r="J10" s="181">
        <v>3</v>
      </c>
      <c r="K10" s="181">
        <v>0</v>
      </c>
      <c r="L10" s="181">
        <v>45</v>
      </c>
      <c r="M10" s="181">
        <v>0</v>
      </c>
      <c r="N10" s="181">
        <v>0</v>
      </c>
      <c r="O10" s="181">
        <v>0</v>
      </c>
      <c r="P10" s="181">
        <v>0</v>
      </c>
      <c r="Q10" s="181">
        <v>0</v>
      </c>
      <c r="R10" s="181">
        <v>7</v>
      </c>
      <c r="S10" s="181">
        <v>32</v>
      </c>
      <c r="T10" s="181">
        <v>12</v>
      </c>
      <c r="U10" s="181">
        <v>6</v>
      </c>
      <c r="V10" s="181">
        <v>38</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32</v>
      </c>
      <c r="AZ10" s="129">
        <f t="shared" si="0"/>
        <v>12</v>
      </c>
      <c r="BA10" s="129">
        <f t="shared" si="0"/>
        <v>6</v>
      </c>
      <c r="BB10" s="129">
        <f t="shared" si="0"/>
        <v>38</v>
      </c>
      <c r="BC10" s="125">
        <f t="shared" si="0"/>
        <v>2</v>
      </c>
      <c r="BD10" s="126">
        <f>IF(ISNUMBER(BA10/AZ10),BA10/AZ10," - ")</f>
        <v>0.5</v>
      </c>
      <c r="BE10" s="127">
        <f>IF(ISNUMBER(BB10/BA10),BB10/BA10, " - ")</f>
        <v>6.333333333333333</v>
      </c>
      <c r="BF10" s="127">
        <f>IF(ISNUMBER(BC10/BA10),BC10/BA10, " - ")</f>
        <v>0.33333333333333331</v>
      </c>
      <c r="BG10" s="196">
        <f>IF(ISNUMBER((AY10+AZ10)/BA10),(AY10+AZ10)/BA10," - ")</f>
        <v>7.333333333333333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1098</v>
      </c>
      <c r="J12" s="183">
        <v>361</v>
      </c>
      <c r="K12" s="183">
        <v>215</v>
      </c>
      <c r="L12" s="183">
        <v>1244</v>
      </c>
      <c r="M12" s="183">
        <v>69</v>
      </c>
      <c r="N12" s="183">
        <v>100</v>
      </c>
      <c r="O12" s="181">
        <v>88</v>
      </c>
      <c r="P12" s="183">
        <v>25</v>
      </c>
      <c r="Q12" s="183">
        <v>348</v>
      </c>
      <c r="R12" s="183">
        <v>1460</v>
      </c>
      <c r="S12" s="183">
        <v>981</v>
      </c>
      <c r="T12" s="183">
        <v>244</v>
      </c>
      <c r="U12" s="183">
        <v>166</v>
      </c>
      <c r="V12" s="183">
        <v>1050</v>
      </c>
      <c r="W12" s="183">
        <v>32</v>
      </c>
      <c r="X12" s="189">
        <v>81</v>
      </c>
      <c r="Y12" s="191">
        <v>43</v>
      </c>
      <c r="Z12" s="181">
        <v>30</v>
      </c>
      <c r="AA12" s="181">
        <v>23</v>
      </c>
      <c r="AB12" s="181">
        <v>50</v>
      </c>
      <c r="AC12" s="183">
        <v>0</v>
      </c>
      <c r="AD12" s="183">
        <v>0</v>
      </c>
      <c r="AE12" s="183">
        <v>0</v>
      </c>
      <c r="AF12" s="189">
        <v>0</v>
      </c>
      <c r="AG12" s="202">
        <v>30</v>
      </c>
      <c r="AH12" s="183">
        <v>15</v>
      </c>
      <c r="AI12" s="183">
        <v>8</v>
      </c>
      <c r="AJ12" s="203">
        <v>37</v>
      </c>
      <c r="AK12" s="182">
        <v>0</v>
      </c>
      <c r="AL12" s="183">
        <v>0</v>
      </c>
      <c r="AM12" s="183">
        <v>0</v>
      </c>
      <c r="AN12" s="189">
        <v>0</v>
      </c>
      <c r="AO12" s="259">
        <v>2</v>
      </c>
      <c r="AP12" s="155">
        <v>2</v>
      </c>
      <c r="AQ12" s="155">
        <v>2</v>
      </c>
      <c r="AR12" s="154">
        <v>2</v>
      </c>
      <c r="AS12" s="340" t="s">
        <v>802</v>
      </c>
      <c r="AT12" s="203"/>
      <c r="AU12" s="202"/>
      <c r="AV12" s="203"/>
      <c r="AW12" s="202"/>
      <c r="AX12" s="203"/>
      <c r="AY12" s="126">
        <f t="shared" si="1"/>
        <v>1011</v>
      </c>
      <c r="AZ12" s="127">
        <f t="shared" si="1"/>
        <v>259</v>
      </c>
      <c r="BA12" s="127">
        <f t="shared" si="1"/>
        <v>174</v>
      </c>
      <c r="BB12" s="127">
        <f t="shared" si="1"/>
        <v>1087</v>
      </c>
      <c r="BC12" s="125">
        <f>IF(ISNUMBER(X12),X12," - ")</f>
        <v>81</v>
      </c>
      <c r="BD12" s="126">
        <f t="shared" si="2"/>
        <v>0.6718146718146718</v>
      </c>
      <c r="BE12" s="127">
        <f t="shared" si="3"/>
        <v>6.2471264367816088</v>
      </c>
      <c r="BF12" s="127">
        <f t="shared" si="4"/>
        <v>0.46551724137931033</v>
      </c>
      <c r="BG12" s="196">
        <f t="shared" si="5"/>
        <v>7.2988505747126435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1140</v>
      </c>
      <c r="J13" s="184">
        <f t="shared" si="6"/>
        <v>364</v>
      </c>
      <c r="K13" s="184">
        <f t="shared" si="6"/>
        <v>215</v>
      </c>
      <c r="L13" s="184">
        <f t="shared" si="6"/>
        <v>1289</v>
      </c>
      <c r="M13" s="184">
        <f t="shared" si="6"/>
        <v>69</v>
      </c>
      <c r="N13" s="184">
        <f t="shared" si="6"/>
        <v>100</v>
      </c>
      <c r="O13" s="184">
        <f t="shared" si="6"/>
        <v>88</v>
      </c>
      <c r="P13" s="184">
        <f t="shared" si="6"/>
        <v>25</v>
      </c>
      <c r="Q13" s="184">
        <f t="shared" si="6"/>
        <v>348</v>
      </c>
      <c r="R13" s="184">
        <f t="shared" si="6"/>
        <v>1467</v>
      </c>
      <c r="S13" s="184">
        <f t="shared" si="6"/>
        <v>1013</v>
      </c>
      <c r="T13" s="184">
        <f t="shared" si="6"/>
        <v>256</v>
      </c>
      <c r="U13" s="184">
        <f t="shared" si="6"/>
        <v>172</v>
      </c>
      <c r="V13" s="184">
        <f t="shared" si="6"/>
        <v>1088</v>
      </c>
      <c r="W13" s="184">
        <f t="shared" si="6"/>
        <v>34</v>
      </c>
      <c r="X13" s="184">
        <f t="shared" si="6"/>
        <v>83</v>
      </c>
      <c r="Y13" s="184">
        <f t="shared" si="6"/>
        <v>43</v>
      </c>
      <c r="Z13" s="184">
        <f t="shared" si="6"/>
        <v>30</v>
      </c>
      <c r="AA13" s="184">
        <f t="shared" si="6"/>
        <v>23</v>
      </c>
      <c r="AB13" s="184">
        <f t="shared" si="6"/>
        <v>50</v>
      </c>
      <c r="AC13" s="184">
        <f t="shared" si="6"/>
        <v>0</v>
      </c>
      <c r="AD13" s="184">
        <f t="shared" si="6"/>
        <v>0</v>
      </c>
      <c r="AE13" s="184">
        <f t="shared" si="6"/>
        <v>0</v>
      </c>
      <c r="AF13" s="184">
        <f>SUBTOTAL(9,AF9:AF12)</f>
        <v>0</v>
      </c>
      <c r="AG13" s="184">
        <f t="shared" ref="AG13:AT13" si="7">SUBTOTAL(9,AG8:AG12)</f>
        <v>30</v>
      </c>
      <c r="AH13" s="184">
        <f t="shared" si="7"/>
        <v>15</v>
      </c>
      <c r="AI13" s="184">
        <f t="shared" si="7"/>
        <v>8</v>
      </c>
      <c r="AJ13" s="184">
        <f t="shared" si="7"/>
        <v>37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1043</v>
      </c>
      <c r="AZ13" s="184">
        <f>SUBTOTAL(9,AZ8:AZ12)</f>
        <v>271</v>
      </c>
      <c r="BA13" s="184">
        <f>SUBTOTAL(9,BA8:BA12)</f>
        <v>180</v>
      </c>
      <c r="BB13" s="184">
        <f>SUBTOTAL(9,BB8:BB12)</f>
        <v>1125</v>
      </c>
      <c r="BC13" s="184">
        <f>SUBTOTAL(9,BC8:BC12)</f>
        <v>83</v>
      </c>
      <c r="BD13" s="205">
        <f>IF(ISNUMBER(BA13/AZ13),BA13/AZ13," - ")</f>
        <v>0.66420664206642066</v>
      </c>
      <c r="BE13" s="206">
        <f>IF(ISNUMBER(BB13/BA13),BB13/BA13, " - ")</f>
        <v>6.25</v>
      </c>
      <c r="BF13" s="206">
        <f>IF(ISNUMBER(BC13/BA13),BC13/BA13, " - ")</f>
        <v>0.46111111111111114</v>
      </c>
      <c r="BG13" s="207">
        <f>IF(ISNUMBER((AY13+AZ13)/BA13),(AY13+AZ13)/BA13," - ")</f>
        <v>7.3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1045</v>
      </c>
      <c r="J16" s="183">
        <v>425</v>
      </c>
      <c r="K16" s="183">
        <v>361</v>
      </c>
      <c r="L16" s="183">
        <v>1113</v>
      </c>
      <c r="M16" s="183">
        <v>44</v>
      </c>
      <c r="N16" s="183">
        <v>153</v>
      </c>
      <c r="O16" s="181">
        <v>14</v>
      </c>
      <c r="P16" s="183">
        <v>14</v>
      </c>
      <c r="Q16" s="183">
        <v>17</v>
      </c>
      <c r="R16" s="183">
        <v>125</v>
      </c>
      <c r="S16" s="183">
        <v>1002</v>
      </c>
      <c r="T16" s="183">
        <v>344</v>
      </c>
      <c r="U16" s="183">
        <v>252</v>
      </c>
      <c r="V16" s="183">
        <v>1088</v>
      </c>
      <c r="W16" s="183">
        <v>36</v>
      </c>
      <c r="X16" s="189">
        <v>159</v>
      </c>
      <c r="Y16" s="202">
        <v>0</v>
      </c>
      <c r="Z16" s="183">
        <v>0</v>
      </c>
      <c r="AA16" s="183">
        <v>0</v>
      </c>
      <c r="AB16" s="183">
        <v>0</v>
      </c>
      <c r="AC16" s="183">
        <v>2</v>
      </c>
      <c r="AD16" s="183">
        <v>0</v>
      </c>
      <c r="AE16" s="183">
        <v>0</v>
      </c>
      <c r="AF16" s="189">
        <v>2</v>
      </c>
      <c r="AG16" s="202">
        <v>0</v>
      </c>
      <c r="AH16" s="183">
        <v>0</v>
      </c>
      <c r="AI16" s="183">
        <v>0</v>
      </c>
      <c r="AJ16" s="203">
        <v>0</v>
      </c>
      <c r="AK16" s="182">
        <v>2</v>
      </c>
      <c r="AL16" s="183">
        <v>0</v>
      </c>
      <c r="AM16" s="183">
        <v>0</v>
      </c>
      <c r="AN16" s="189">
        <v>2</v>
      </c>
      <c r="AO16" s="259">
        <v>2</v>
      </c>
      <c r="AP16" s="155">
        <v>2</v>
      </c>
      <c r="AQ16" s="155">
        <v>2</v>
      </c>
      <c r="AR16" s="155">
        <v>2</v>
      </c>
      <c r="AS16" s="340" t="s">
        <v>487</v>
      </c>
      <c r="AT16" s="203"/>
      <c r="AU16" s="202"/>
      <c r="AV16" s="203"/>
      <c r="AW16" s="202"/>
      <c r="AX16" s="203"/>
      <c r="AY16" s="126">
        <f t="shared" si="9"/>
        <v>1002</v>
      </c>
      <c r="AZ16" s="127">
        <f t="shared" si="9"/>
        <v>344</v>
      </c>
      <c r="BA16" s="127">
        <f t="shared" si="9"/>
        <v>252</v>
      </c>
      <c r="BB16" s="127">
        <f t="shared" si="9"/>
        <v>1088</v>
      </c>
      <c r="BC16" s="125">
        <f>IF(ISNUMBER(W16),W16," - ")</f>
        <v>36</v>
      </c>
      <c r="BD16" s="126">
        <f t="shared" ref="BD16" si="11">IF(ISNUMBER(BA16/AZ16),BA16/AZ16," - ")</f>
        <v>0.73255813953488369</v>
      </c>
      <c r="BE16" s="127">
        <f t="shared" ref="BE16" si="12">IF(ISNUMBER(BB16/BA16),BB16/BA16, " - ")</f>
        <v>4.3174603174603172</v>
      </c>
      <c r="BF16" s="127">
        <f t="shared" ref="BF16" si="13">IF(ISNUMBER(BC16/BA16),BC16/BA16, " - ")</f>
        <v>0.14285714285714285</v>
      </c>
      <c r="BG16" s="196">
        <f t="shared" si="10"/>
        <v>5.3412698412698409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183</v>
      </c>
      <c r="J17" s="183">
        <v>65</v>
      </c>
      <c r="K17" s="183">
        <v>66</v>
      </c>
      <c r="L17" s="183">
        <v>182</v>
      </c>
      <c r="M17" s="183">
        <v>15</v>
      </c>
      <c r="N17" s="183">
        <v>13</v>
      </c>
      <c r="O17" s="183">
        <v>0</v>
      </c>
      <c r="P17" s="183">
        <v>0</v>
      </c>
      <c r="Q17" s="183">
        <v>0</v>
      </c>
      <c r="R17" s="183">
        <v>1</v>
      </c>
      <c r="S17" s="183">
        <v>146</v>
      </c>
      <c r="T17" s="183">
        <v>75</v>
      </c>
      <c r="U17" s="183">
        <v>62</v>
      </c>
      <c r="V17" s="183">
        <v>159</v>
      </c>
      <c r="W17" s="183">
        <v>20</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146</v>
      </c>
      <c r="AZ17" s="129">
        <f t="shared" si="14"/>
        <v>75</v>
      </c>
      <c r="BA17" s="129">
        <f t="shared" si="14"/>
        <v>62</v>
      </c>
      <c r="BB17" s="129">
        <f t="shared" si="14"/>
        <v>159</v>
      </c>
      <c r="BC17" s="125">
        <f>IF(ISNUMBER(W17),W17," - ")</f>
        <v>20</v>
      </c>
      <c r="BD17" s="126">
        <f>IF(ISNUMBER(BA17/AZ17),BA17/AZ17," - ")</f>
        <v>0.82666666666666666</v>
      </c>
      <c r="BE17" s="127">
        <f>IF(ISNUMBER(BB17/BA17),BB17/BA17, " - ")</f>
        <v>2.564516129032258</v>
      </c>
      <c r="BF17" s="127">
        <f>IF(ISNUMBER(BC17/BA17),BC17/BA17, " - ")</f>
        <v>0.32258064516129031</v>
      </c>
      <c r="BG17" s="196">
        <f>IF(ISNUMBER((AY17+AZ17)/BA17),(AY17+AZ17)/BA17," - ")</f>
        <v>3.564516129032258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1228</v>
      </c>
      <c r="J18" s="184">
        <f t="shared" si="15"/>
        <v>490</v>
      </c>
      <c r="K18" s="184">
        <f t="shared" si="15"/>
        <v>427</v>
      </c>
      <c r="L18" s="184">
        <f t="shared" si="15"/>
        <v>1295</v>
      </c>
      <c r="M18" s="184">
        <f t="shared" si="15"/>
        <v>59</v>
      </c>
      <c r="N18" s="184">
        <f t="shared" si="15"/>
        <v>166</v>
      </c>
      <c r="O18" s="184">
        <f t="shared" si="15"/>
        <v>14</v>
      </c>
      <c r="P18" s="184">
        <f t="shared" si="15"/>
        <v>14</v>
      </c>
      <c r="Q18" s="184">
        <f t="shared" si="15"/>
        <v>17</v>
      </c>
      <c r="R18" s="184">
        <f t="shared" si="15"/>
        <v>126</v>
      </c>
      <c r="S18" s="184">
        <f t="shared" si="15"/>
        <v>1148</v>
      </c>
      <c r="T18" s="184">
        <f t="shared" si="15"/>
        <v>419</v>
      </c>
      <c r="U18" s="184">
        <f t="shared" si="15"/>
        <v>314</v>
      </c>
      <c r="V18" s="184">
        <f t="shared" si="15"/>
        <v>1247</v>
      </c>
      <c r="W18" s="184">
        <f t="shared" si="15"/>
        <v>56</v>
      </c>
      <c r="X18" s="184">
        <f t="shared" si="15"/>
        <v>212</v>
      </c>
      <c r="Y18" s="184">
        <f t="shared" si="15"/>
        <v>0</v>
      </c>
      <c r="Z18" s="184">
        <f t="shared" si="15"/>
        <v>0</v>
      </c>
      <c r="AA18" s="184">
        <f t="shared" si="15"/>
        <v>0</v>
      </c>
      <c r="AB18" s="184">
        <f t="shared" si="15"/>
        <v>0</v>
      </c>
      <c r="AC18" s="184">
        <f t="shared" si="15"/>
        <v>2</v>
      </c>
      <c r="AD18" s="184">
        <f t="shared" si="15"/>
        <v>0</v>
      </c>
      <c r="AE18" s="184">
        <f t="shared" si="15"/>
        <v>0</v>
      </c>
      <c r="AF18" s="184">
        <f t="shared" si="15"/>
        <v>2</v>
      </c>
      <c r="AG18" s="184">
        <f t="shared" si="15"/>
        <v>0</v>
      </c>
      <c r="AH18" s="184">
        <f t="shared" si="15"/>
        <v>0</v>
      </c>
      <c r="AI18" s="184">
        <f t="shared" si="15"/>
        <v>0</v>
      </c>
      <c r="AJ18" s="184">
        <f t="shared" si="15"/>
        <v>0</v>
      </c>
      <c r="AK18" s="184">
        <f t="shared" si="15"/>
        <v>2</v>
      </c>
      <c r="AL18" s="184">
        <f t="shared" si="15"/>
        <v>0</v>
      </c>
      <c r="AM18" s="184">
        <f t="shared" si="15"/>
        <v>0</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1148</v>
      </c>
      <c r="AZ18" s="184">
        <f>SUBTOTAL(9,AZ14:AZ17)</f>
        <v>419</v>
      </c>
      <c r="BA18" s="184">
        <f>SUBTOTAL(9,BA14:BA17)</f>
        <v>314</v>
      </c>
      <c r="BB18" s="184">
        <f>SUBTOTAL(9,BB14:BB17)</f>
        <v>1247</v>
      </c>
      <c r="BC18" s="184">
        <f>SUBTOTAL(9,BC14:BC17)</f>
        <v>56</v>
      </c>
      <c r="BD18" s="205">
        <f>IF(ISNUMBER(BA18/AZ18),BA18/AZ18," - ")</f>
        <v>0.74940334128878283</v>
      </c>
      <c r="BE18" s="206">
        <f>IF(ISNUMBER(BB18/BA18),BB18/BA18, " - ")</f>
        <v>3.9713375796178343</v>
      </c>
      <c r="BF18" s="206">
        <f>IF(ISNUMBER(BC18/BA18),BC18/BA18, " - ")</f>
        <v>0.17834394904458598</v>
      </c>
      <c r="BG18" s="207">
        <f>IF(ISNUMBER((AY18+AZ18)/BA18),(AY18+AZ18)/BA18," - ")</f>
        <v>4.9904458598726116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2368</v>
      </c>
      <c r="J19" s="134">
        <f t="shared" si="18"/>
        <v>854</v>
      </c>
      <c r="K19" s="134">
        <f t="shared" si="18"/>
        <v>642</v>
      </c>
      <c r="L19" s="134">
        <f t="shared" si="18"/>
        <v>2584</v>
      </c>
      <c r="M19" s="134">
        <f t="shared" si="18"/>
        <v>128</v>
      </c>
      <c r="N19" s="134">
        <f t="shared" si="18"/>
        <v>266</v>
      </c>
      <c r="O19" s="134">
        <f t="shared" si="18"/>
        <v>102</v>
      </c>
      <c r="P19" s="134">
        <f t="shared" si="18"/>
        <v>39</v>
      </c>
      <c r="Q19" s="134">
        <f t="shared" si="18"/>
        <v>365</v>
      </c>
      <c r="R19" s="134">
        <f t="shared" si="18"/>
        <v>1593</v>
      </c>
      <c r="S19" s="134">
        <f t="shared" si="18"/>
        <v>2161</v>
      </c>
      <c r="T19" s="134">
        <f t="shared" si="18"/>
        <v>675</v>
      </c>
      <c r="U19" s="134">
        <f t="shared" si="18"/>
        <v>486</v>
      </c>
      <c r="V19" s="134">
        <f t="shared" si="18"/>
        <v>2335</v>
      </c>
      <c r="W19" s="134">
        <f t="shared" si="18"/>
        <v>90</v>
      </c>
      <c r="X19" s="134">
        <f t="shared" si="18"/>
        <v>295</v>
      </c>
      <c r="Y19" s="134">
        <f t="shared" si="18"/>
        <v>43</v>
      </c>
      <c r="Z19" s="134">
        <f t="shared" si="18"/>
        <v>30</v>
      </c>
      <c r="AA19" s="134">
        <f t="shared" si="18"/>
        <v>23</v>
      </c>
      <c r="AB19" s="134">
        <f t="shared" si="18"/>
        <v>50</v>
      </c>
      <c r="AC19" s="134">
        <f t="shared" si="18"/>
        <v>2</v>
      </c>
      <c r="AD19" s="134">
        <f t="shared" si="18"/>
        <v>0</v>
      </c>
      <c r="AE19" s="134">
        <f t="shared" si="18"/>
        <v>0</v>
      </c>
      <c r="AF19" s="134">
        <f t="shared" si="18"/>
        <v>2</v>
      </c>
      <c r="AG19" s="134">
        <f t="shared" si="18"/>
        <v>30</v>
      </c>
      <c r="AH19" s="134">
        <f t="shared" si="18"/>
        <v>15</v>
      </c>
      <c r="AI19" s="134">
        <f t="shared" si="18"/>
        <v>8</v>
      </c>
      <c r="AJ19" s="134">
        <f t="shared" si="18"/>
        <v>37</v>
      </c>
      <c r="AK19" s="134">
        <f t="shared" si="18"/>
        <v>2</v>
      </c>
      <c r="AL19" s="134">
        <f t="shared" si="18"/>
        <v>0</v>
      </c>
      <c r="AM19" s="134">
        <f t="shared" si="18"/>
        <v>0</v>
      </c>
      <c r="AN19" s="210">
        <f t="shared" si="18"/>
        <v>2</v>
      </c>
      <c r="AO19" s="211">
        <v>3</v>
      </c>
      <c r="AP19" s="211">
        <v>2</v>
      </c>
      <c r="AQ19" s="211">
        <v>2</v>
      </c>
      <c r="AR19" s="211">
        <v>2</v>
      </c>
      <c r="AS19" s="153">
        <f t="shared" si="18"/>
        <v>0</v>
      </c>
      <c r="AT19" s="153">
        <f t="shared" si="18"/>
        <v>0</v>
      </c>
      <c r="AU19" s="211"/>
      <c r="AV19" s="212"/>
      <c r="AW19" s="211"/>
      <c r="AX19" s="212"/>
      <c r="AY19" s="133">
        <f>SUBTOTAL(9,AY9:AY18)</f>
        <v>2191</v>
      </c>
      <c r="AZ19" s="134">
        <f>SUBTOTAL(9,AZ9:AZ18)</f>
        <v>690</v>
      </c>
      <c r="BA19" s="134">
        <f>SUBTOTAL(9,BA9:BA18)</f>
        <v>494</v>
      </c>
      <c r="BB19" s="134">
        <f>SUBTOTAL(9,BB9:BB18)</f>
        <v>2372</v>
      </c>
      <c r="BC19" s="135">
        <f>SUBTOTAL(9,BC9:BC18)</f>
        <v>139</v>
      </c>
      <c r="BD19" s="213">
        <f>IF(ISNUMBER(BA19/AZ19),BA19/AZ19," - ")</f>
        <v>0.71594202898550729</v>
      </c>
      <c r="BE19" s="210">
        <f>IF(ISNUMBER(BB19/BA19),BB19/BA19, " - ")</f>
        <v>4.8016194331983808</v>
      </c>
      <c r="BF19" s="210">
        <f>IF(ISNUMBER(BC19/BA19),BC19/BA19, " - ")</f>
        <v>0.28137651821862347</v>
      </c>
      <c r="BG19" s="135">
        <f>IF(ISNUMBER((AY19+AZ19)/BA19),(AY19+AZ19)/BA19," - ")</f>
        <v>5.831983805668016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MBSTeyafVrS7RCwa8RMwngyFJa7OJnuGXI7wniXg462JAXnmVDkJMChS8MJPUEn/9WsgD5MaE+APB+zsnHQg==" saltValue="WnXLdmIiXc2CCQyoyDhwW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flwnNFeTkky6r29CbwN9LGb9s7boRa16fDK0zTFrMAU8MaMFaJrwQfhZnRXACE4mokrFxzRmiCYgK6/7hzrA==" saltValue="wC7bqUGF7bgZVqTswcUK4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JUMILLA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45</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50</v>
      </c>
      <c r="AI12" s="334" t="str">
        <f>IF(ISNUMBER(Datos!CD12),Datos!CD12,"-")</f>
        <v>-</v>
      </c>
      <c r="AJ12" s="334" t="str">
        <f>IF(ISNUMBER(Datos!EN12),Datos!EN12," - ")</f>
        <v xml:space="preserve"> - </v>
      </c>
      <c r="AK12" s="334"/>
      <c r="AL12" s="479"/>
      <c r="AM12" s="335">
        <f>IF(ISNUMBER(Datos!R12),Datos!R12," - ")</f>
        <v>1460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v>
      </c>
      <c r="BD12" s="229">
        <f>IF(ISNUMBER(Datos!N12),Datos!N12," - ")</f>
        <v>100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0.60869565217391308</v>
      </c>
      <c r="BH12" s="260">
        <f>IF(ISNUMBER(((IF(J_V="SI",Datos!L12/Datos!K12,(Datos!L12+Datos!AB12)/(Datos!K12+Datos!AA12)))*11)/factor_trimestre),((IF(J_V="SI",Datos!L12/Datos!K12,(Datos!L12+Datos!AB12)/(Datos!K12+Datos!AA12)))*11)/factor_trimestre," - ")</f>
        <v>10.873949579831933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-0.18115535614133482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348</v>
      </c>
      <c r="AD13" s="899">
        <f t="shared" si="1"/>
        <v>0</v>
      </c>
      <c r="AE13" s="899">
        <f t="shared" si="1"/>
        <v>0</v>
      </c>
      <c r="AF13" s="899">
        <f t="shared" si="1"/>
        <v>45</v>
      </c>
      <c r="AG13" s="899">
        <f t="shared" si="1"/>
        <v>0</v>
      </c>
      <c r="AH13" s="899">
        <f t="shared" si="1"/>
        <v>50</v>
      </c>
      <c r="AI13" s="899">
        <f t="shared" si="1"/>
        <v>0</v>
      </c>
      <c r="AJ13" s="899">
        <f t="shared" si="1"/>
        <v>0</v>
      </c>
      <c r="AK13" s="899">
        <f t="shared" si="1"/>
        <v>0</v>
      </c>
      <c r="AL13" s="899">
        <f t="shared" si="1"/>
        <v>0</v>
      </c>
      <c r="AM13" s="899">
        <f t="shared" si="1"/>
        <v>1467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69</v>
      </c>
      <c r="BD13" s="899">
        <f t="shared" si="1"/>
        <v>100</v>
      </c>
      <c r="BE13" s="899">
        <f t="shared" si="1"/>
        <v>0</v>
      </c>
      <c r="BF13" s="899">
        <f t="shared" si="1"/>
        <v>0</v>
      </c>
      <c r="BG13" s="899">
        <f>IF(ISNUMBER(Datos!K13/Datos!J13),Datos!K13/Datos!J13," - ")</f>
        <v>0.59065934065934067</v>
      </c>
      <c r="BH13" s="903">
        <f>IF(ISNUMBER(((Datos!L13/Datos!K13)*11)/factor_trimestre),((Datos!L13/Datos!K13)*11)/factor_trimestre," - ")</f>
        <v>11.990697674418605</v>
      </c>
      <c r="BI13" s="899">
        <f>IF(ISNUMBER('Resol  Asuntos'!D13/NºAsuntos!G13),'Resol  Asuntos'!D13/NºAsuntos!G13," - ")</f>
        <v>0.28991596638655465</v>
      </c>
      <c r="BJ13" s="899" t="str">
        <f>IF(ISNUMBER(Datos!CI13/Datos!CJ13),Datos!CI13/Datos!CJ13," - ")</f>
        <v xml:space="preserve"> - </v>
      </c>
      <c r="BK13" s="899">
        <f>SUBTOTAL(9,BK8:BK12)</f>
        <v>0</v>
      </c>
      <c r="BL13" s="899">
        <f>IF(ISNUMBER((I13-AB13+L13)/(F13)),(I13-AB13+L13)/(F13)," - ")</f>
        <v>0</v>
      </c>
      <c r="BM13" s="904">
        <f>SUBTOTAL(9,BM9:BM12)</f>
        <v>-0.18115535614133482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1049</v>
      </c>
      <c r="G16" s="598">
        <f>IF(ISNUMBER(IF(D_I="SI",Datos!I16,Datos!I16+Datos!AC16)),IF(D_I="SI",Datos!I16,Datos!I16+Datos!AC16)," - ")</f>
        <v>1045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361</v>
      </c>
      <c r="AC16" s="226">
        <f>IF(ISNUMBER(Datos!Q16),Datos!Q16," - ")</f>
        <v>17</v>
      </c>
      <c r="AD16" s="334"/>
      <c r="AE16" s="484"/>
      <c r="AF16" s="596">
        <f>IF(ISNUMBER(IF(D_I="SI",Datos!L16,Datos!L16+Datos!AF16)),IF(D_I="SI",Datos!L16,Datos!L16+Datos!AF16)," - ")</f>
        <v>1113</v>
      </c>
      <c r="AG16" s="334"/>
      <c r="AH16" s="334"/>
      <c r="AI16" s="334"/>
      <c r="AJ16" s="334"/>
      <c r="AK16" s="334"/>
      <c r="AL16" s="479"/>
      <c r="AM16" s="335">
        <f>IF(ISNUMBER(Datos!R16),Datos!R16," - ")</f>
        <v>125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153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0.84941176470588231</v>
      </c>
      <c r="BH16" s="260">
        <f>IF(ISNUMBER(((IF(D_I="SI",Datos!L16/Datos!K16,(Datos!L16+Datos!AF16)/(Datos!K16+Datos!AE16)))*11)/factor_trimestre),((IF(D_I="SI",Datos!L16/Datos!K16,(Datos!L16+Datos!AF16)/(Datos!K16+Datos!AE16)))*11)/factor_trimestre," - ")</f>
        <v>6.1662049861495838</v>
      </c>
      <c r="BI16" s="243">
        <f>IF(ISNUMBER('Resol  Asuntos'!D16/NºAsuntos!G16),'Resol  Asuntos'!D16/NºAsuntos!G16," - ")</f>
        <v>0.12188365650969529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v>
      </c>
      <c r="AC17" s="226">
        <f>IF(ISNUMBER(Datos!Q17),Datos!Q17," - ")</f>
        <v>0</v>
      </c>
      <c r="AD17" s="334"/>
      <c r="AE17" s="484"/>
      <c r="AF17" s="332">
        <f>IF(ISNUMBER(Datos!L17),Datos!L17,"-")</f>
        <v>182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1.0153846153846153</v>
      </c>
      <c r="BH17" s="260">
        <f>IF(ISNUMBER(((IF(D_I="SI",Datos!L17/Datos!K17,(Datos!L17+Datos!AF17)/(Datos!K17+Datos!AE17)))*11)/factor_trimestre),((IF(D_I="SI",Datos!L17/Datos!K17,(Datos!L17+Datos!AF17)/(Datos!K17+Datos!AE17)))*11)/factor_trimestre," - ")</f>
        <v>5.5151515151515156</v>
      </c>
      <c r="BI17" s="243">
        <f>IF(ISNUMBER('Resol  Asuntos'!D17/NºAsuntos!G17),'Resol  Asuntos'!D17/NºAsuntos!G17," - ")</f>
        <v>0.22727272727272727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1049</v>
      </c>
      <c r="G18" s="898">
        <f>SUBTOTAL(9,G15:G17)</f>
        <v>1228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427</v>
      </c>
      <c r="AC18" s="899">
        <f t="shared" si="4"/>
        <v>17</v>
      </c>
      <c r="AD18" s="899">
        <f t="shared" si="4"/>
        <v>0</v>
      </c>
      <c r="AE18" s="899">
        <f t="shared" si="4"/>
        <v>0</v>
      </c>
      <c r="AF18" s="899">
        <f t="shared" si="4"/>
        <v>1295</v>
      </c>
      <c r="AG18" s="899">
        <f t="shared" si="4"/>
        <v>0</v>
      </c>
      <c r="AH18" s="899">
        <f t="shared" si="4"/>
        <v>0</v>
      </c>
      <c r="AI18" s="899">
        <f t="shared" si="4"/>
        <v>0</v>
      </c>
      <c r="AJ18" s="899">
        <f t="shared" si="4"/>
        <v>0</v>
      </c>
      <c r="AK18" s="899">
        <f t="shared" si="4"/>
        <v>0</v>
      </c>
      <c r="AL18" s="899">
        <f t="shared" si="4"/>
        <v>0</v>
      </c>
      <c r="AM18" s="899">
        <f t="shared" si="4"/>
        <v>126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59</v>
      </c>
      <c r="BD18" s="899">
        <f t="shared" si="4"/>
        <v>166</v>
      </c>
      <c r="BE18" s="899">
        <f t="shared" si="4"/>
        <v>0</v>
      </c>
      <c r="BF18" s="899">
        <f t="shared" si="4"/>
        <v>0</v>
      </c>
      <c r="BG18" s="899">
        <f>IF(ISNUMBER(Datos!K18/Datos!J18),Datos!K18/Datos!J18," - ")</f>
        <v>0.87142857142857144</v>
      </c>
      <c r="BH18" s="903">
        <f>IF(ISNUMBER(((Datos!L18/Datos!K18)*11)/factor_trimestre),((Datos!L18/Datos!K18)*11)/factor_trimestre," - ")</f>
        <v>6.0655737704918034</v>
      </c>
      <c r="BI18" s="899">
        <f>SUBTOTAL(9,BI15:BI17)</f>
        <v>0.34915638378242253</v>
      </c>
      <c r="BJ18" s="899">
        <f>SUBTOTAL(9,BJ15:BJ17)</f>
        <v>0</v>
      </c>
      <c r="BK18" s="899">
        <f>SUBTOTAL(9,BK15:BK17)</f>
        <v>0</v>
      </c>
      <c r="BL18" s="899">
        <f>IF(ISNUMBER((I18-AB18+L18)/(F18)),(I18-AB18+L18)/(F18)," - ")</f>
        <v>-0.40705433746425168</v>
      </c>
      <c r="BM18" s="905">
        <f>IF(ISNUMBER((Datos!P18-Datos!Q18)/(Datos!R18-Datos!P18+Datos!Q18)),(Datos!P18-Datos!Q18)/(Datos!R18-Datos!P18+Datos!Q18)," - ")</f>
        <v>-2.3255813953488372E-2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1091</v>
      </c>
      <c r="G19" s="820">
        <f t="shared" si="6"/>
        <v>1270</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427</v>
      </c>
      <c r="AC19" s="821">
        <f t="shared" si="7"/>
        <v>365</v>
      </c>
      <c r="AD19" s="821">
        <f t="shared" si="7"/>
        <v>0</v>
      </c>
      <c r="AE19" s="821">
        <f t="shared" si="7"/>
        <v>0</v>
      </c>
      <c r="AF19" s="828">
        <f t="shared" si="7"/>
        <v>1340</v>
      </c>
      <c r="AG19" s="828">
        <f t="shared" si="7"/>
        <v>0</v>
      </c>
      <c r="AH19" s="828">
        <f t="shared" si="7"/>
        <v>50</v>
      </c>
      <c r="AI19" s="828">
        <f t="shared" si="7"/>
        <v>0</v>
      </c>
      <c r="AJ19" s="821">
        <f t="shared" si="7"/>
        <v>0</v>
      </c>
      <c r="AK19" s="828">
        <f t="shared" si="7"/>
        <v>0</v>
      </c>
      <c r="AL19" s="828">
        <f t="shared" si="7"/>
        <v>0</v>
      </c>
      <c r="AM19" s="828">
        <f t="shared" si="7"/>
        <v>1593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128</v>
      </c>
      <c r="BD19" s="820">
        <f t="shared" si="7"/>
        <v>266</v>
      </c>
      <c r="BE19" s="820">
        <f t="shared" si="7"/>
        <v>0</v>
      </c>
      <c r="BF19" s="830">
        <f t="shared" si="7"/>
        <v>0</v>
      </c>
      <c r="BG19" s="915">
        <f>IF(ISNUMBER(Datos!K19/Datos!J19),Datos!K19/Datos!J19," - ")</f>
        <v>0.75175644028103039</v>
      </c>
      <c r="BH19" s="915">
        <f>IF(ISNUMBER(((Datos!L19/Datos!K19)*11)/factor_trimestre),((Datos!L19/Datos!K19)*11)/factor_trimestre," - ")</f>
        <v>8.0498442367601246</v>
      </c>
      <c r="BI19" s="813">
        <f>IF(ISNUMBER(Datos!J19/Datos!I19),Datos!J19/Datos!I19," - ")</f>
        <v>0.36064189189189189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-0.3913840513290559</v>
      </c>
      <c r="BM19" s="889">
        <f>IF(ISNUMBER((Datos!P19-Datos!Q19+R19)/(Datos!R19-Datos!P19+Datos!Q19-R19)),(Datos!P19-Datos!Q19+R19)/(Datos!R19-Datos!P19+Datos!Q19-R19)," - ")</f>
        <v>-0.16988014590932776</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581.39172107395314</v>
      </c>
      <c r="G21" s="552">
        <f>IF(ISNUMBER(STDEV(G8:G18)),STDEV(G8:G18),"-")</f>
        <v>580.23831310936373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206.84704493900801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29.12501788268407</v>
      </c>
      <c r="BD21" s="551"/>
      <c r="BE21" s="551">
        <f>IF(ISNUMBER(STDEV(BE8:BE18)),STDEV(BE8:BE18),"-")</f>
        <v>0</v>
      </c>
      <c r="BF21" s="556">
        <f>IF(ISNUMBER(STDEV(BF8:BF18)),STDEV(BF8:BF18),"-")</f>
        <v>0</v>
      </c>
      <c r="BG21" s="775">
        <f>IF(ISNUMBER(STDEV(BG8:BG18)),STDEV(BG8:BG18),"-")</f>
        <v>0.36050463396968396</v>
      </c>
      <c r="BH21" s="776">
        <f>IF(ISNUMBER(STDEV(BH8:BH18)),STDEV(BH8:BH18),"-")</f>
        <v>3.0573570974307089</v>
      </c>
      <c r="BI21" s="249">
        <f>IF(ISNUMBER(STDEV(BI8:BI18)),STDEV(BI8:BI18),"-")</f>
        <v>9.7161306661016869E-2</v>
      </c>
      <c r="BJ21" s="230" t="str">
        <f>IF(ISNUMBER(BL21/BM21),BL21/BM21," - ")</f>
        <v xml:space="preserve"> - </v>
      </c>
      <c r="BK21" s="575"/>
      <c r="BL21" s="559">
        <f>IF(ISNUMBER(STDEV(BL8:BL18)),STDEV(BL8:BL18),"-")</f>
        <v>0.2878308823323697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6qd6puSqHvO6v9gHKRA2nkkE4SFQxOeEjq4cDhtvhZoVNkpqjZ20iFJ4XiXvtXUn4h/guzLpQijm30/y0nec0g==" saltValue="z6oFBFMz5Uh4PUxv9WU8N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JUMILLA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45</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348</v>
      </c>
      <c r="AA12" s="332" t="str">
        <f>IF(ISNUMBER(IF(J_V="SI",Datos!L12,Datos!L12+Datos!AB12)-IF(Monitorios="SI",Datos!CD12,0)),
                          IF(J_V="SI",Datos!L12,Datos!L12+Datos!AB12)-IF(Monitorios="SI",Datos!CD12,0),
                          " - ")</f>
        <v xml:space="preserve"> - </v>
      </c>
      <c r="AB12" s="334"/>
      <c r="AC12" s="334"/>
      <c r="AD12" s="484"/>
      <c r="AE12" s="484">
        <f>IF(ISNUMBER(Datos!R12),Datos!R12," - ")</f>
        <v>1460</v>
      </c>
      <c r="AF12" s="229" t="str">
        <f>IF(ISNUMBER(Datos!BV12),Datos!BV12," - ")</f>
        <v xml:space="preserve"> - </v>
      </c>
      <c r="AG12" s="225" t="str">
        <f>IF(ISNUMBER(Datos!DV12),Datos!DV12," - ")</f>
        <v xml:space="preserve"> - </v>
      </c>
      <c r="AH12" s="298"/>
      <c r="AI12" s="227"/>
      <c r="AJ12" s="225">
        <f>IF(ISNUMBER(Datos!M12),Datos!M12," - ")</f>
        <v>69</v>
      </c>
      <c r="AK12" s="229">
        <f>IF(ISNUMBER(Datos!N12),Datos!N12," - ")</f>
        <v>100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10.873949579831933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-0.18115535614133482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348</v>
      </c>
      <c r="AA13" s="900">
        <f t="shared" si="2"/>
        <v>45</v>
      </c>
      <c r="AB13" s="900">
        <f t="shared" si="2"/>
        <v>0</v>
      </c>
      <c r="AC13" s="900">
        <f t="shared" si="2"/>
        <v>0</v>
      </c>
      <c r="AD13" s="900">
        <f t="shared" si="2"/>
        <v>0</v>
      </c>
      <c r="AE13" s="900">
        <f t="shared" si="2"/>
        <v>1467</v>
      </c>
      <c r="AF13" s="908">
        <f t="shared" si="2"/>
        <v>0</v>
      </c>
      <c r="AG13" s="908">
        <f t="shared" si="2"/>
        <v>0</v>
      </c>
      <c r="AH13" s="908">
        <f t="shared" si="2"/>
        <v>0</v>
      </c>
      <c r="AI13" s="908">
        <f t="shared" si="2"/>
        <v>0</v>
      </c>
      <c r="AJ13" s="908">
        <f t="shared" si="2"/>
        <v>69</v>
      </c>
      <c r="AK13" s="908">
        <f t="shared" si="2"/>
        <v>100</v>
      </c>
      <c r="AL13" s="908">
        <f t="shared" si="2"/>
        <v>0</v>
      </c>
      <c r="AM13" s="908">
        <f t="shared" si="2"/>
        <v>0</v>
      </c>
      <c r="AN13" s="908">
        <f t="shared" si="2"/>
        <v>0</v>
      </c>
      <c r="AO13" s="904">
        <f>IF(ISNUMBER(((NºAsuntos!I13/NºAsuntos!G13)*11)/factor_trimestre),((NºAsuntos!I13/NºAsuntos!G13)*11)/factor_trimestre," - ")</f>
        <v>11.252100840336135</v>
      </c>
      <c r="AP13" s="910" t="str">
        <f>IF(ISNUMBER(Datos!CI13/Datos!CJ13),Datos!CI13/Datos!CJ13," - ")</f>
        <v xml:space="preserve"> - </v>
      </c>
      <c r="AQ13" s="928">
        <f t="shared" ref="AQ13:AV13" si="3">SUBTOTAL(9,AQ9:AQ12)</f>
        <v>0</v>
      </c>
      <c r="AR13" s="928">
        <f t="shared" si="3"/>
        <v>-0.18115535614133482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1049</v>
      </c>
      <c r="G16" s="225">
        <f>IF(ISNUMBER(IF(D_I="SI",Datos!I16,Datos!I16+Datos!AC16)),IF(D_I="SI",Datos!I16,Datos!I16+Datos!AC16)," - ")</f>
        <v>1045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361</v>
      </c>
      <c r="Z16" s="619">
        <f>IF(ISNUMBER(Datos!Q16),Datos!Q16," - ")</f>
        <v>17</v>
      </c>
      <c r="AA16" s="332">
        <f>IF(ISNUMBER(IF(D_I="SI",Datos!L16,Datos!L16+Datos!AF16)),IF(D_I="SI",Datos!L16,Datos!L16+Datos!AF16)," - ")</f>
        <v>1113</v>
      </c>
      <c r="AB16" s="334"/>
      <c r="AC16" s="334"/>
      <c r="AD16" s="484"/>
      <c r="AE16" s="484">
        <f>IF(ISNUMBER(Datos!R16),Datos!R16," - ")</f>
        <v>125</v>
      </c>
      <c r="AF16" s="229" t="str">
        <f>IF(ISNUMBER(Datos!BV16),Datos!BV16," - ")</f>
        <v xml:space="preserve"> - </v>
      </c>
      <c r="AG16" s="225"/>
      <c r="AH16" s="298"/>
      <c r="AI16" s="227"/>
      <c r="AJ16" s="225">
        <f>IF(ISNUMBER(Datos!M16),Datos!M16," - ")</f>
        <v>44</v>
      </c>
      <c r="AK16" s="229">
        <f>IF(ISNUMBER(Datos!N16),Datos!N16," - ")</f>
        <v>153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6.1662049861495838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v>
      </c>
      <c r="Z17" s="619">
        <f>IF(ISNUMBER(Datos!Q17),Datos!Q17," - ")</f>
        <v>0</v>
      </c>
      <c r="AA17" s="332">
        <f>IF(ISNUMBER(Datos!L17),Datos!L17,"-")</f>
        <v>182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15</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5.5151515151515156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1049</v>
      </c>
      <c r="G18" s="898">
        <f>SUBTOTAL(9,G15:G17)</f>
        <v>1228</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427</v>
      </c>
      <c r="Z18" s="932">
        <f t="shared" si="5"/>
        <v>17</v>
      </c>
      <c r="AA18" s="932">
        <f t="shared" si="5"/>
        <v>1295</v>
      </c>
      <c r="AB18" s="932">
        <f t="shared" si="5"/>
        <v>0</v>
      </c>
      <c r="AC18" s="932">
        <f t="shared" si="5"/>
        <v>0</v>
      </c>
      <c r="AD18" s="932">
        <f t="shared" si="5"/>
        <v>0</v>
      </c>
      <c r="AE18" s="932">
        <f t="shared" si="5"/>
        <v>126</v>
      </c>
      <c r="AF18" s="932">
        <f t="shared" si="5"/>
        <v>0</v>
      </c>
      <c r="AG18" s="932">
        <f t="shared" si="5"/>
        <v>0</v>
      </c>
      <c r="AH18" s="932">
        <f t="shared" si="5"/>
        <v>0</v>
      </c>
      <c r="AI18" s="932">
        <f t="shared" si="5"/>
        <v>0</v>
      </c>
      <c r="AJ18" s="932">
        <f t="shared" si="5"/>
        <v>59</v>
      </c>
      <c r="AK18" s="932">
        <f t="shared" si="5"/>
        <v>166</v>
      </c>
      <c r="AL18" s="932">
        <f t="shared" si="5"/>
        <v>0</v>
      </c>
      <c r="AM18" s="932">
        <f t="shared" si="5"/>
        <v>0</v>
      </c>
      <c r="AN18" s="932">
        <f t="shared" si="5"/>
        <v>0</v>
      </c>
      <c r="AO18" s="934">
        <f>IF(ISNUMBER(((NºAsuntos!I18/NºAsuntos!G18)*11)/factor_trimestre),((NºAsuntos!I18/NºAsuntos!G18)*11)/factor_trimestre," - ")</f>
        <v>6.0655737704918034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1091</v>
      </c>
      <c r="G19" s="820">
        <f t="shared" si="7"/>
        <v>1270</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427</v>
      </c>
      <c r="Z19" s="827">
        <f t="shared" si="8"/>
        <v>365</v>
      </c>
      <c r="AA19" s="828">
        <f t="shared" si="8"/>
        <v>1340</v>
      </c>
      <c r="AB19" s="828">
        <f t="shared" si="8"/>
        <v>0</v>
      </c>
      <c r="AC19" s="828">
        <f t="shared" si="8"/>
        <v>0</v>
      </c>
      <c r="AD19" s="829">
        <f t="shared" si="8"/>
        <v>0</v>
      </c>
      <c r="AE19" s="829">
        <f t="shared" si="8"/>
        <v>1593</v>
      </c>
      <c r="AF19" s="830">
        <f t="shared" si="8"/>
        <v>0</v>
      </c>
      <c r="AG19" s="831">
        <f t="shared" si="8"/>
        <v>0</v>
      </c>
      <c r="AH19" s="832">
        <f t="shared" si="8"/>
        <v>0</v>
      </c>
      <c r="AI19" s="830">
        <f t="shared" si="8"/>
        <v>0</v>
      </c>
      <c r="AJ19" s="820">
        <f t="shared" si="8"/>
        <v>128</v>
      </c>
      <c r="AK19" s="820">
        <f t="shared" si="8"/>
        <v>266</v>
      </c>
      <c r="AL19" s="820">
        <f t="shared" si="8"/>
        <v>0</v>
      </c>
      <c r="AM19" s="833">
        <f t="shared" si="8"/>
        <v>0</v>
      </c>
      <c r="AN19" s="823">
        <f>IF(ISNUMBER(Datos!K19/Datos!J19),Datos!K19/Datos!J19," - ")</f>
        <v>0.75175644028103039</v>
      </c>
      <c r="AO19" s="823">
        <f>IF(ISNUMBER(FIND("06",Criterios!A8,1)),(IF(ISNUMBER(((Datos!R19/Datos!Q19)*11)/factor_trimestre),((Datos!R19/Datos!Q19)*11)/factor_trimestre," - ")),(IF(ISNUMBER(((Datos!L19/Datos!K19)*11)/factor_trimestre),((Datos!L19/Datos!K19)*11)/factor_trimestre," - ")))</f>
        <v>8.0498442367601246</v>
      </c>
      <c r="AP19" s="834" t="str">
        <f>IF(ISNUMBER(Datos!CI19/Datos!CJ19),Datos!CI19/Datos!CJ19," - ")</f>
        <v xml:space="preserve"> - </v>
      </c>
      <c r="AQ19" s="834">
        <f>IF(OR(ISNUMBER(FIND("01",Criterios!A8,1)),ISNUMBER(FIND("02",Criterios!A8,1)),ISNUMBER(FIND("03",Criterios!A8,1)),ISNUMBER(FIND("04",Criterios!A8,1))),(J19-Y19+K19)/(F19-K19),(I19-Y19+K19)/(F19-K19))</f>
        <v>-0.3913840513290559</v>
      </c>
      <c r="AR19" s="834">
        <f>IF(ISNUMBER((Datos!P19-Datos!Q19+O19)/(Datos!R19-Datos!P19+Datos!Q19-O19)),(Datos!P19-Datos!Q19+O19)/(Datos!R19-Datos!P19+Datos!Q19-O19)," - ")</f>
        <v>-0.16988014590932776</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581.39172107395314</v>
      </c>
      <c r="G21" s="552">
        <f>IF(ISNUMBER(STDEV(G8:G18)),STDEV(G8:G18),"-")</f>
        <v>580.23831310936373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29.12501788268407</v>
      </c>
      <c r="AK21" s="252"/>
      <c r="AL21" s="252">
        <f>IF(ISNUMBER(STDEV(AL8:AL18)),STDEV(AL8:AL18),"-")</f>
        <v>0</v>
      </c>
      <c r="AM21" s="254">
        <f>IF(ISNUMBER(STDEV(AM8:AM18)),STDEV(AM8:AM18),"-")</f>
        <v>0</v>
      </c>
      <c r="AN21" s="539">
        <f>IF(ISNUMBER(STDEV(AN8:AN18)),STDEV(AN8:AN18),"-")</f>
        <v>0</v>
      </c>
      <c r="AO21" s="540">
        <f>IF(ISNUMBER(STDEV(AO8:AO18)),STDEV(AO8:AO18),"-")</f>
        <v>2.8333637370223936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R2EavhJGC01oyhrh8XI+tMu+t4kU0RfXblp87QkF3+2rcsVydozQySPK/jNLsdKeAykHND+MA0/Qt9UnIt12Dw==" saltValue="TvfgWalBN+wlUkIVPIilv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HVW+6BDSMRs2CLCGDVIocmTJ/wZGEr98E97fYFCAaanXlKI/gGlO4E0n6/HANm2IorI713ONC6ho85MIjvFCA==" saltValue="RnelL87KHs8NEKQX9hpH3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PRgMQqbQA6fQRTBhiyEk/wMMpGyEzofMKzhSLSIRLLeByc8iT+axTq+0ToI17zf3ZB3ICTUwLye7Y/nLGOpuA==" saltValue="V4jNsNl1rbekGxgT1HV/9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JUMILLA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0.28991596638655465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0.20500154580618396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k+pYuGpAQhj8kQ8wJcIxd6xrQAXKj9FsI9M7LcV7PItpBAnFaCOBmlzhEv24ed+0xkbg8mS+3QpLV8bF3N1LQ==" saltValue="ku+3n4oXznAyOsGXVAAl/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S3Vqqi7ChtflWFVp8UE+9IN4X0nz++OsfkK06Rph5OOhKfn0A0ULyyfGjkbU0u327PW3/TfKQ+b4DWdwa1TKQ==" saltValue="aGvduD8kIFEWzTTKqMvI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JUMILLA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42</v>
      </c>
      <c r="D10" s="404">
        <f>IF(ISNUMBER(C10/Datos!BH10),C10/Datos!BH10," - ")</f>
        <v>42</v>
      </c>
      <c r="E10" s="403">
        <f>IF(ISNUMBER(Datos!J10),Datos!J10," - ")</f>
        <v>3</v>
      </c>
      <c r="F10" s="404">
        <f>IF(ISNUMBER(E10/B10),E10/B10," - ")</f>
        <v>3</v>
      </c>
      <c r="G10" s="403">
        <f>IF(ISNUMBER(Datos!K10),Datos!K10," - ")</f>
        <v>0</v>
      </c>
      <c r="H10" s="404">
        <f>IF(ISNUMBER(G10/B10),G10/B10," - ")</f>
        <v>0</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1141</v>
      </c>
      <c r="D12" s="404">
        <f>IF(ISNUMBER(C12/Datos!BH12),C12/Datos!BH12," - ")</f>
        <v>570.5</v>
      </c>
      <c r="E12" s="403">
        <f>IF(ISNUMBER(IF(J_V="SI",Datos!J12,Datos!J12+Datos!Z12)),IF(J_V="SI",Datos!J12,Datos!J12+Datos!Z12)," - ")</f>
        <v>391</v>
      </c>
      <c r="F12" s="404">
        <f>IF(ISNUMBER(E12/B12),E12/B12," - ")</f>
        <v>195.5</v>
      </c>
      <c r="G12" s="403">
        <f>IF(ISNUMBER(IF(J_V="SI",Datos!K12,Datos!K12+Datos!AA12)),IF(J_V="SI",Datos!K12,Datos!K12+Datos!AA12)," - ")</f>
        <v>238</v>
      </c>
      <c r="H12" s="404">
        <f>IF(ISNUMBER(G12/B12),G12/B12," - ")</f>
        <v>119</v>
      </c>
      <c r="I12" s="403">
        <f>IF(ISNUMBER(IF(J_V="SI",Datos!L12,Datos!L12+Datos!AB12)),IF(J_V="SI",Datos!L12,Datos!L12+Datos!AB12)," - ")</f>
        <v>1294</v>
      </c>
      <c r="J12" s="404">
        <f>IF(ISNUMBER(I12/B12),I12/B12," - ")</f>
        <v>647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1183</v>
      </c>
      <c r="D13" s="850" t="str">
        <f>IF(ISNUMBER(C13/Datos!BI13),C13/Datos!BI13," - ")</f>
        <v xml:space="preserve"> - </v>
      </c>
      <c r="E13" s="849">
        <f>SUBTOTAL(9,E8:E12)</f>
        <v>394</v>
      </c>
      <c r="F13" s="850">
        <f>IF(ISNUMBER(E13/B13),E13/B13," - ")</f>
        <v>197</v>
      </c>
      <c r="G13" s="849">
        <f>SUBTOTAL(9,G8:G12)</f>
        <v>238</v>
      </c>
      <c r="H13" s="850">
        <f>IF(ISNUMBER(G13/B13),G13/B13," - ")</f>
        <v>119</v>
      </c>
      <c r="I13" s="849">
        <f>SUBTOTAL(9,I8:I12)</f>
        <v>1339</v>
      </c>
      <c r="J13" s="850">
        <f>IF(ISNUMBER(I13/B13),I13/B13," - ")</f>
        <v>669.5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1045</v>
      </c>
      <c r="D16" s="404">
        <f>IF(ISNUMBER(C16/Datos!BH16),C16/Datos!BH16," - ")</f>
        <v>522.5</v>
      </c>
      <c r="E16" s="403">
        <f>IF(ISNUMBER(IF(D_I="SI",Datos!J16,Datos!J16+Datos!AD16)),IF(D_I="SI",Datos!J16,Datos!J16+Datos!AD16)," - ")</f>
        <v>425</v>
      </c>
      <c r="F16" s="404">
        <f>IF(ISNUMBER(E16/B16),E16/B16," - ")</f>
        <v>212.5</v>
      </c>
      <c r="G16" s="403">
        <f>IF(ISNUMBER(IF(D_I="SI",Datos!K16,Datos!K16+Datos!AE16)),IF(D_I="SI",Datos!K16,Datos!K16+Datos!AE16)," - ")</f>
        <v>361</v>
      </c>
      <c r="H16" s="404">
        <f>IF(ISNUMBER(G16/B16),G16/B16," - ")</f>
        <v>180.5</v>
      </c>
      <c r="I16" s="403">
        <f>IF(ISNUMBER(IF(D_I="SI",Datos!L16,Datos!L16+Datos!AF16)),IF(D_I="SI",Datos!L16,Datos!L16+Datos!AF16)," - ")</f>
        <v>1113</v>
      </c>
      <c r="J16" s="404">
        <f>IF(ISNUMBER(I16/B16),I16/B16," - ")</f>
        <v>556.5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183</v>
      </c>
      <c r="D17" s="404">
        <f>IF(ISNUMBER(C17/Datos!BH17),C17/Datos!BH17," - ")</f>
        <v>183</v>
      </c>
      <c r="E17" s="403">
        <f>IF(ISNUMBER(IF(D_I="SI",Datos!J17,Datos!J17+Datos!AD17)),IF(D_I="SI",Datos!J17,Datos!J17+Datos!AD17)," - ")</f>
        <v>65</v>
      </c>
      <c r="F17" s="404">
        <f>IF(ISNUMBER(E17/B17),E17/B17," - ")</f>
        <v>65</v>
      </c>
      <c r="G17" s="403">
        <f>IF(ISNUMBER(IF(D_I="SI",Datos!K17,Datos!K17+Datos!AE17)),IF(D_I="SI",Datos!K17,Datos!K17+Datos!AE17)," - ")</f>
        <v>66</v>
      </c>
      <c r="H17" s="404">
        <f>IF(ISNUMBER(G17/B17),G17/B17," - ")</f>
        <v>66</v>
      </c>
      <c r="I17" s="403">
        <f>IF(ISNUMBER(IF(D_I="SI",Datos!L17,Datos!L17+Datos!AF17)),IF(D_I="SI",Datos!L17,Datos!L17+Datos!AF17)," - ")</f>
        <v>182</v>
      </c>
      <c r="J17" s="404">
        <f>IF(ISNUMBER(I17/B17),I17/B17," - ")</f>
        <v>182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1228</v>
      </c>
      <c r="D18" s="850" t="str">
        <f>IF(ISNUMBER(C18/Datos!BI18),C18/Datos!BI18," - ")</f>
        <v xml:space="preserve"> - </v>
      </c>
      <c r="E18" s="849">
        <f>SUBTOTAL(9,E14:E17)</f>
        <v>490</v>
      </c>
      <c r="F18" s="850">
        <f>IF(ISNUMBER(E18/B18),E18/B18," - ")</f>
        <v>245</v>
      </c>
      <c r="G18" s="849">
        <f>SUBTOTAL(9,G14:G17)</f>
        <v>427</v>
      </c>
      <c r="H18" s="850">
        <f>IF(ISNUMBER(G18/B18),G18/B18," - ")</f>
        <v>213.5</v>
      </c>
      <c r="I18" s="849">
        <f>SUBTOTAL(9,I14:I17)</f>
        <v>1295</v>
      </c>
      <c r="J18" s="850">
        <f>IF(ISNUMBER(I18/B18),I18/B18," - ")</f>
        <v>647.5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2411</v>
      </c>
      <c r="D19" s="795" t="str">
        <f>IF(ISNUMBER(C19/Datos!BI19),C19/Datos!BI19," - ")</f>
        <v xml:space="preserve"> - </v>
      </c>
      <c r="E19" s="794">
        <f>SUBTOTAL(9,E9:E18)</f>
        <v>884</v>
      </c>
      <c r="F19" s="795">
        <f>IF(ISNUMBER(E19/B19),E19/B19," - ")</f>
        <v>442</v>
      </c>
      <c r="G19" s="794">
        <f>SUBTOTAL(9,G9:G18)</f>
        <v>665</v>
      </c>
      <c r="H19" s="795">
        <f>IF(ISNUMBER(G19/B19),G19/B19," - ")</f>
        <v>332.5</v>
      </c>
      <c r="I19" s="794">
        <f>SUBTOTAL(9,I9:I18)</f>
        <v>2634</v>
      </c>
      <c r="J19" s="795">
        <f>IF(ISNUMBER(I19/B19),I19/B19," - ")</f>
        <v>1317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Yf3eWCjk0+D8QZ8Dj7Uew37+LUcwK8G97gDA6W42L+OqS1xBhMH2B2iqUQEnsly8pHlTCiilP2renAYTkvzKg==" saltValue="G97diTc6Btw8OyC5Vxxj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JUMILLA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v>
      </c>
      <c r="AM12" s="690">
        <f>IF(ISNUMBER(Datos!N12+DatosP!N16),Datos!N12+DatosP!N16," - ")</f>
        <v>100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10.873949579831933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-0.18115535614133482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348</v>
      </c>
      <c r="AE13" s="939">
        <f t="shared" si="1"/>
        <v>0</v>
      </c>
      <c r="AF13" s="939">
        <f t="shared" si="1"/>
        <v>45</v>
      </c>
      <c r="AG13" s="939">
        <f t="shared" si="1"/>
        <v>0</v>
      </c>
      <c r="AH13" s="939">
        <f t="shared" si="1"/>
        <v>1460</v>
      </c>
      <c r="AI13" s="939">
        <f t="shared" si="1"/>
        <v>0</v>
      </c>
      <c r="AJ13" s="939">
        <f t="shared" si="1"/>
        <v>0</v>
      </c>
      <c r="AK13" s="939">
        <f t="shared" si="1"/>
        <v>0</v>
      </c>
      <c r="AL13" s="939">
        <f t="shared" si="1"/>
        <v>69</v>
      </c>
      <c r="AM13" s="939">
        <f t="shared" si="1"/>
        <v>100</v>
      </c>
      <c r="AN13" s="939">
        <f t="shared" si="1"/>
        <v>0</v>
      </c>
      <c r="AO13" s="939">
        <f t="shared" si="1"/>
        <v>0</v>
      </c>
      <c r="AP13" s="944">
        <f>IF(ISNUMBER(((Datos!L13/Datos!K13)*11)/factor_trimestre),((Datos!L13/Datos!K13)*11)/factor_trimestre," - ")</f>
        <v>11.990697674418605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-0.18115535614133482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6.0655737704918034</v>
      </c>
      <c r="AQ18" s="944">
        <f>IF(ISNUMBER(((Datos!M18/Datos!L18)*11)/factor_trimestre),((Datos!M18/Datos!L18)*11)/factor_trimestre," - ")</f>
        <v>9.1119691119691121E-2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-2.3255813953488372E-2</v>
      </c>
      <c r="AW18" s="946">
        <f>IF(ISNUMBER((Datos!Q18-Datos!R18)/(Datos!S18-Datos!Q18+Datos!R18)),(Datos!Q18-Datos!R18)/(Datos!S18-Datos!Q18+Datos!R18)," - ")</f>
        <v>-8.6714399363564038E-2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348</v>
      </c>
      <c r="AE19" s="957">
        <f t="shared" si="5"/>
        <v>0</v>
      </c>
      <c r="AF19" s="958">
        <f t="shared" si="5"/>
        <v>45</v>
      </c>
      <c r="AG19" s="958">
        <f t="shared" si="5"/>
        <v>0</v>
      </c>
      <c r="AH19" s="958">
        <f t="shared" si="5"/>
        <v>1460</v>
      </c>
      <c r="AI19" s="958">
        <f t="shared" si="5"/>
        <v>0</v>
      </c>
      <c r="AJ19" s="959">
        <f t="shared" si="5"/>
        <v>0</v>
      </c>
      <c r="AK19" s="959">
        <f t="shared" si="5"/>
        <v>0</v>
      </c>
      <c r="AL19" s="951">
        <f t="shared" si="5"/>
        <v>69</v>
      </c>
      <c r="AM19" s="951">
        <f t="shared" si="5"/>
        <v>100</v>
      </c>
      <c r="AN19" s="951">
        <f t="shared" si="5"/>
        <v>0</v>
      </c>
      <c r="AO19" s="951">
        <f t="shared" si="5"/>
        <v>0</v>
      </c>
      <c r="AP19" s="951">
        <f>IF(ISNUMBER(((Datos!L19/Datos!K19)*11)/factor_trimestre),((Datos!L19/Datos!K19)*11)/factor_trimestre," - ")</f>
        <v>8.0498442367601246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-0.16988014590932776</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39.837168574084181</v>
      </c>
      <c r="AM21" s="736"/>
      <c r="AN21" s="736">
        <f>IF(ISNUMBER(STDEV(AN8:AN18)),STDEV(AN8:AN18),"-")</f>
        <v>0</v>
      </c>
      <c r="AO21" s="742">
        <f>IF(ISNUMBER(STDEV(AO8:AO18)),STDEV(AO8:AO18),"-")</f>
        <v>0</v>
      </c>
      <c r="AP21" s="779">
        <f>IF(ISNUMBER(STDEV(AP8:AP18)),STDEV(AP8:AP18),"-")</f>
        <v>3.1484042917933097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Qut2/Q6om58IR4hEia/9gnVVhADgE2iOflgyawgGvrBDktAfkMufU6ycwao0Y9cgOZ8RWsz/kEU3flKLYfZw==" saltValue="wpjqEYBesG+qlFPV6wz2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JUMILLA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l5R9ZJ36bI/azog/HdhFf7fhnjmbE5MIkf4EqIVzWqWXVRte3802r0dRmNw2x0Qbp07rVZyRDF0QecDALYfTw==" saltValue="Sw0YL6PVCMYYpRCKjTcEC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JUMILLA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69</v>
      </c>
      <c r="E12" s="404">
        <f t="shared" si="0"/>
        <v>34.5</v>
      </c>
      <c r="F12" s="403">
        <f>IF(ISNUMBER(Datos!N12),Datos!N12," - ")</f>
        <v>100</v>
      </c>
      <c r="G12" s="404">
        <f t="shared" si="1"/>
        <v>50</v>
      </c>
      <c r="H12" s="403">
        <f>IF(ISNUMBER(Datos!O12),Datos!O12," - ")</f>
        <v>88</v>
      </c>
      <c r="I12" s="404">
        <f t="shared" si="2"/>
        <v>44</v>
      </c>
      <c r="BZ12" s="1186">
        <f>Datos!EZ12</f>
        <v>0</v>
      </c>
    </row>
    <row r="13" spans="1:78" ht="14.25" thickTop="1" thickBot="1">
      <c r="A13" s="848" t="str">
        <f>Datos!A13</f>
        <v>TOTAL</v>
      </c>
      <c r="B13" s="849">
        <f>Datos!AP13</f>
        <v>2</v>
      </c>
      <c r="C13" s="851">
        <f>Datos!AR13</f>
        <v>2</v>
      </c>
      <c r="D13" s="849">
        <f>SUBTOTAL(9,D9:D12)</f>
        <v>69</v>
      </c>
      <c r="E13" s="850">
        <f t="shared" si="0"/>
        <v>34.5</v>
      </c>
      <c r="F13" s="849">
        <f>SUBTOTAL(9,F9:F12)</f>
        <v>100</v>
      </c>
      <c r="G13" s="850">
        <f t="shared" si="1"/>
        <v>50</v>
      </c>
      <c r="H13" s="849">
        <f>SUBTOTAL(9,H9:H12)</f>
        <v>88</v>
      </c>
      <c r="I13" s="850">
        <f>IF(ISNUMBER(H13/B13),H13/B13," - ")</f>
        <v>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153</v>
      </c>
      <c r="G16" s="404">
        <f t="shared" si="4"/>
        <v>76.5</v>
      </c>
      <c r="H16" s="403">
        <f>IF(ISNUMBER(Datos!O16),Datos!O16," - ")</f>
        <v>14</v>
      </c>
      <c r="I16" s="404">
        <f t="shared" si="5"/>
        <v>7</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59</v>
      </c>
      <c r="E18" s="850">
        <f t="shared" si="3"/>
        <v>29.5</v>
      </c>
      <c r="F18" s="849">
        <f>SUBTOTAL(9,F15:F17)</f>
        <v>166</v>
      </c>
      <c r="G18" s="850">
        <f t="shared" si="4"/>
        <v>83</v>
      </c>
      <c r="H18" s="849">
        <f>SUBTOTAL(9,H15:H17)</f>
        <v>14</v>
      </c>
      <c r="I18" s="850">
        <f>IF(ISNUMBER(H18/B18),H18/B18," - ")</f>
        <v>7</v>
      </c>
      <c r="BZ18" s="1186"/>
    </row>
    <row r="19" spans="1:78" ht="14.25" thickTop="1" thickBot="1">
      <c r="A19" s="793" t="str">
        <f>Datos!A19</f>
        <v>TOTAL JURISDICCIONES</v>
      </c>
      <c r="B19" s="794">
        <f>Datos!AP19</f>
        <v>2</v>
      </c>
      <c r="C19" s="794">
        <f>Datos!AR19</f>
        <v>2</v>
      </c>
      <c r="D19" s="794">
        <f>SUBTOTAL(9,D8:D18)</f>
        <v>128</v>
      </c>
      <c r="E19" s="795">
        <f>IF(ISNUMBER(D19/B19),D19/B19," - ")</f>
        <v>64</v>
      </c>
      <c r="F19" s="794">
        <f>SUBTOTAL(9,F8:F18)</f>
        <v>266</v>
      </c>
      <c r="G19" s="795">
        <f>IF(ISNUMBER(F19/B19),F19/B19," - ")</f>
        <v>133</v>
      </c>
      <c r="H19" s="794">
        <f>SUBTOTAL(9,H8:H18)</f>
        <v>102</v>
      </c>
      <c r="I19" s="795">
        <f>IF(ISNUMBER(H19/B19),H19/B19," - ")</f>
        <v>51</v>
      </c>
    </row>
    <row r="22" spans="1:78">
      <c r="A22" s="391" t="str">
        <f>Criterios!A4</f>
        <v>Fecha Informe: 29 nov. 2024</v>
      </c>
    </row>
    <row r="27" spans="1:78">
      <c r="A27" s="414"/>
    </row>
  </sheetData>
  <sheetProtection algorithmName="SHA-512" hashValue="T4RXMX7KEPqKuLsNQ+XbfWudJwt172CyNpkkRrDiQ4YR89J617TgPjuaZ6JEyLIUMLjstkWMv3btx9GUaXJeZw==" saltValue="orCUkU19G6E5Bkj7JiE6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JUMILLA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348</v>
      </c>
      <c r="D12" s="408">
        <f>IF(ISNUMBER(Datos!R12),Datos!R12," - ")</f>
        <v>1460</v>
      </c>
    </row>
    <row r="13" spans="1:4" ht="14.25" thickTop="1" thickBot="1">
      <c r="A13" s="848" t="str">
        <f>Datos!A13</f>
        <v>TOTAL</v>
      </c>
      <c r="B13" s="849">
        <f>SUBTOTAL(9,B9:B12)</f>
        <v>25</v>
      </c>
      <c r="C13" s="853">
        <f>SUBTOTAL(9,C9:C12)</f>
        <v>348</v>
      </c>
      <c r="D13" s="851">
        <f>SUBTOTAL(9,D9:D12)</f>
        <v>1467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17</v>
      </c>
      <c r="D16" s="408">
        <f>IF(ISNUMBER(Datos!R16),Datos!R16," - ")</f>
        <v>125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14</v>
      </c>
      <c r="C18" s="853">
        <f>SUBTOTAL(9,C15:C17)</f>
        <v>17</v>
      </c>
      <c r="D18" s="851">
        <f>SUBTOTAL(9,D15:D17)</f>
        <v>126</v>
      </c>
    </row>
    <row r="19" spans="1:4" ht="16.5" customHeight="1" thickTop="1" thickBot="1">
      <c r="A19" s="793" t="str">
        <f>Datos!A19</f>
        <v>TOTAL JURISDICCIONES</v>
      </c>
      <c r="B19" s="798">
        <f>SUBTOTAL(9,B8:B18)</f>
        <v>39</v>
      </c>
      <c r="C19" s="799">
        <f>SUBTOTAL(9,C8:C18)</f>
        <v>365</v>
      </c>
      <c r="D19" s="800">
        <f>SUBTOTAL(9,D8:D18)</f>
        <v>1593</v>
      </c>
    </row>
    <row r="20" spans="1:4" ht="7.5" customHeight="1"/>
    <row r="21" spans="1:4" ht="6" customHeight="1"/>
    <row r="22" spans="1:4">
      <c r="A22" s="391" t="str">
        <f>Criterios!A4</f>
        <v>Fecha Informe: 29 nov. 2024</v>
      </c>
    </row>
    <row r="27" spans="1:4">
      <c r="A27" s="414"/>
    </row>
  </sheetData>
  <sheetProtection algorithmName="SHA-512" hashValue="+fidsd7ZF7Y0DwRBA/WSx8fu2nh3FLy/NP/udvOGI0V04xakvqJl9/SBsLbletWuaUztkhptt8vn4eBWPl2Igg==" saltValue="NhyN6xa7xkoPybxQS7GA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JUMILLA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0.3125</v>
      </c>
      <c r="C10" s="456">
        <f>IF(ISNUMBER((Datos!J10-Datos!T10)/Datos!T10),(Datos!J10-Datos!T10)/Datos!T10," - ")</f>
        <v>-0.75</v>
      </c>
      <c r="D10" s="456">
        <f>IF(ISNUMBER((Datos!K10-Datos!U10)/Datos!U10),(Datos!K10-Datos!U10)/Datos!U10," - ")</f>
        <v>-1</v>
      </c>
      <c r="E10" s="456">
        <f>IF(ISNUMBER((Datos!L10-Datos!V10)/Datos!V10),(Datos!L10-Datos!V10)/Datos!V10," - ")</f>
        <v>0.18421052631578946</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0.12858555885262116</v>
      </c>
      <c r="C12" s="456">
        <f>IF(ISNUMBER(
   IF(J_V="SI",(Datos!J12-Datos!T12)/Datos!T12,(Datos!J12+Datos!Z12-(Datos!T12+Datos!AH12))/(Datos!T12+Datos!AH12))
     ),IF(J_V="SI",(Datos!J12-Datos!T12)/Datos!T12,(Datos!J12+Datos!Z12-(Datos!T12+Datos!AH12))/(Datos!T12+Datos!AH12))," - ")</f>
        <v>0.50965250965250963</v>
      </c>
      <c r="D12" s="456">
        <f>IF(ISNUMBER(
   IF(J_V="SI",(Datos!K12-Datos!U12)/Datos!U12,(Datos!K12+Datos!AA12-(Datos!U12+Datos!AI12))/(Datos!U12+Datos!AI12))
     ),IF(J_V="SI",(Datos!K12-Datos!U12)/Datos!U12,(Datos!K12+Datos!AA12-(Datos!U12+Datos!AI12))/(Datos!U12+Datos!AI12))," - ")</f>
        <v>0.36781609195402298</v>
      </c>
      <c r="E12" s="456">
        <f>IF(ISNUMBER(
   IF(J_V="SI",(Datos!L12-Datos!V12)/Datos!V12,(Datos!L12+Datos!AB12-(Datos!V12+Datos!AJ12))/(Datos!V12+Datos!AJ12))
     ),IF(J_V="SI",(Datos!L12-Datos!V12)/Datos!V12,(Datos!L12+Datos!AB12-(Datos!V12+Datos!AJ12))/(Datos!V12+Datos!AJ12))," - ")</f>
        <v>0.19043238270469182</v>
      </c>
      <c r="F12" s="456">
        <f>IF(ISNUMBER((Datos!M12-Datos!W12)/Datos!W12),(Datos!M12-Datos!W12)/Datos!W12," - ")</f>
        <v>1.15625</v>
      </c>
      <c r="G12" s="457">
        <f>IF(ISNUMBER((Datos!N12-Datos!X12)/Datos!X12),(Datos!N12-Datos!X12)/Datos!X12," - ")</f>
        <v>0.23456790123456789</v>
      </c>
      <c r="H12" s="455">
        <f>IF(ISNUMBER(((NºAsuntos!G12/NºAsuntos!E12)-Datos!BD12)/Datos!BD12),((NºAsuntos!G12/NºAsuntos!E12)-Datos!BD12)/Datos!BD12," - ")</f>
        <v>-9.3953023488255807E-2</v>
      </c>
      <c r="I12" s="456">
        <f>IF(ISNUMBER(((NºAsuntos!I12/NºAsuntos!G12)-Datos!BE12)/Datos!BE12),((NºAsuntos!I12/NºAsuntos!G12)-Datos!BE12)/Datos!BE12," - ")</f>
        <v>-0.12968388827472102</v>
      </c>
      <c r="J12" s="461">
        <f>IF(ISNUMBER((('Resol  Asuntos'!D12/NºAsuntos!G12)-Datos!BF12)/Datos!BF12),(('Resol  Asuntos'!D12/NºAsuntos!G12)-Datos!BF12)/Datos!BF12," - ")</f>
        <v>-0.37721755368814186</v>
      </c>
      <c r="K12" s="462">
        <f>IF(ISNUMBER((((NºAsuntos!C12+NºAsuntos!E12)/NºAsuntos!G12)-Datos!BG12)/Datos!BG12),(((NºAsuntos!C12+NºAsuntos!E12)/NºAsuntos!G12)-Datos!BG12)/Datos!BG12," - ")</f>
        <v>-0.11808376894064708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0.13422818791946309</v>
      </c>
      <c r="C13" s="855">
        <f>IF(ISNUMBER(
   IF(J_V="SI",(Datos!J13-Datos!T13)/Datos!T13,(Datos!J13+Datos!Z13-(Datos!T13+Datos!AH13))/(Datos!T13+Datos!AH13))
     ),IF(J_V="SI",(Datos!J13-Datos!T13)/Datos!T13,(Datos!J13+Datos!Z13-(Datos!T13+Datos!AH13))/(Datos!T13+Datos!AH13))," - ")</f>
        <v>0.45387453874538747</v>
      </c>
      <c r="D13" s="855">
        <f>IF(ISNUMBER(
   IF(J_V="SI",(Datos!K13-Datos!U13)/Datos!U13,(Datos!K13+Datos!AA13-(Datos!U13+Datos!AI13))/(Datos!U13+Datos!AI13))
     ),IF(J_V="SI",(Datos!K13-Datos!U13)/Datos!U13,(Datos!K13+Datos!AA13-(Datos!U13+Datos!AI13))/(Datos!U13+Datos!AI13))," - ")</f>
        <v>0.32222222222222224</v>
      </c>
      <c r="E13" s="855">
        <f>IF(ISNUMBER(
   IF(J_V="SI",(Datos!L13-Datos!V13)/Datos!V13,(Datos!L13+Datos!AB13-(Datos!V13+Datos!AJ13))/(Datos!V13+Datos!AJ13))
     ),IF(J_V="SI",(Datos!L13-Datos!V13)/Datos!V13,(Datos!L13+Datos!AB13-(Datos!V13+Datos!AJ13))/(Datos!V13+Datos!AJ13))," - ")</f>
        <v>0.19022222222222221</v>
      </c>
      <c r="F13" s="856">
        <f>IF(ISNUMBER((Datos!M13-Datos!W13)/Datos!W13),(Datos!M13-Datos!W13)/Datos!W13," - ")</f>
        <v>1.0294117647058822</v>
      </c>
      <c r="G13" s="857">
        <f>IF(ISNUMBER((Datos!N13-Datos!X13)/Datos!X13),(Datos!N13-Datos!X13)/Datos!X13," - ")</f>
        <v>0.20481927710843373</v>
      </c>
      <c r="H13" s="857">
        <f>IF(ISNUMBER(((NºAsuntos!G13/NºAsuntos!E13)-Datos!BD13)/Datos!BD13),((NºAsuntos!G13/NºAsuntos!E13)-Datos!BD13)/Datos!BD13," - ")</f>
        <v>-9.0552735476593288E-2</v>
      </c>
      <c r="I13" s="857">
        <f>IF(ISNUMBER(((NºAsuntos!I13/NºAsuntos!G13)-Datos!BE13)/Datos!BE13),((NºAsuntos!I13/NºAsuntos!G13)-Datos!BE13)/Datos!BE13," - ")</f>
        <v>-9.9831932773109172E-2</v>
      </c>
      <c r="J13" s="857">
        <f>IF(ISNUMBER((('Resol  Asuntos'!D13/NºAsuntos!G13)-Datos!BF13)/Datos!BF13),(('Resol  Asuntos'!D13/NºAsuntos!G13)-Datos!BF13)/Datos!BF13," - ")</f>
        <v>-0.3712665789207249</v>
      </c>
      <c r="K13" s="857">
        <f>IF(ISNUMBER((((NºAsuntos!C13+NºAsuntos!E13)/NºAsuntos!G13)-Datos!BG13)/Datos!BG13),(((NºAsuntos!C13+NºAsuntos!E13)/NºAsuntos!G13)-Datos!BG13)/Datos!BG13," - ")</f>
        <v>-9.2321860250949614E-2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4.291417165668663E-2</v>
      </c>
      <c r="C16" s="456">
        <f>IF(ISNUMBER(
   IF(D_I="SI",(Datos!J16-Datos!T16)/Datos!T16,(Datos!J16+Datos!AD16-(Datos!T16+Datos!AL16))/(Datos!T16+Datos!AL16))
     ),IF(D_I="SI",(Datos!J16-Datos!T16)/Datos!T16,(Datos!J16+Datos!AD16-(Datos!T16+Datos!AL16))/(Datos!T16+Datos!AL16))," - ")</f>
        <v>0.23546511627906977</v>
      </c>
      <c r="D16" s="456">
        <f>IF(ISNUMBER(
   IF(D_I="SI",(Datos!K16-Datos!U16)/Datos!U16,(Datos!K16+Datos!AE16-(Datos!U16+Datos!AM16))/(Datos!U16+Datos!AM16))
     ),IF(D_I="SI",(Datos!K16-Datos!U16)/Datos!U16,(Datos!K16+Datos!AE16-(Datos!U16+Datos!AM16))/(Datos!U16+Datos!AM16))," - ")</f>
        <v>0.43253968253968256</v>
      </c>
      <c r="E16" s="456">
        <f>IF(ISNUMBER(
   IF(D_I="SI",(Datos!L16-Datos!V16)/Datos!V16,(Datos!L16+Datos!AF16-(Datos!V16+Datos!AN16))/(Datos!V16+Datos!AN16))
     ),IF(D_I="SI",(Datos!L16-Datos!V16)/Datos!V16,(Datos!L16+Datos!AF16-(Datos!V16+Datos!AN16))/(Datos!V16+Datos!AN16))," - ")</f>
        <v>2.297794117647059E-2</v>
      </c>
      <c r="F16" s="456">
        <f>IF(ISNUMBER((Datos!M16-Datos!W16)/Datos!W16),(Datos!M16-Datos!W16)/Datos!W16," - ")</f>
        <v>0.22222222222222221</v>
      </c>
      <c r="G16" s="457">
        <f>IF(ISNUMBER((Datos!N16-Datos!X16)/Datos!X16),(Datos!N16-Datos!X16)/Datos!X16," - ")</f>
        <v>-3.7735849056603772E-2</v>
      </c>
      <c r="H16" s="455">
        <f>IF(ISNUMBER(((NºAsuntos!G16/NºAsuntos!E16)-Datos!BD16)/Datos!BD16),((NºAsuntos!G16/NºAsuntos!E16)-Datos!BD16)/Datos!BD16," - ")</f>
        <v>0.15951447245564893</v>
      </c>
      <c r="I16" s="456">
        <f>IF(ISNUMBER(((NºAsuntos!I16/NºAsuntos!G16)-Datos!BE16)/Datos!BE16),((NºAsuntos!I16/NºAsuntos!G16)-Datos!BE16)/Datos!BE16," - ")</f>
        <v>-0.2858990549128238</v>
      </c>
      <c r="J16" s="461">
        <f>IF(ISNUMBER((('Resol  Asuntos'!D16/NºAsuntos!G16)-Datos!BF16)/Datos!BF16),(('Resol  Asuntos'!D16/NºAsuntos!G16)-Datos!BF16)/Datos!BF16," - ")</f>
        <v>-0.14681440443213289</v>
      </c>
      <c r="K16" s="462">
        <f>IF(ISNUMBER((((NºAsuntos!C16+NºAsuntos!E16)/NºAsuntos!G16)-Datos!BG16)/Datos!BG16),(((NºAsuntos!C16+NºAsuntos!E16)/NºAsuntos!G16)-Datos!BG16)/Datos!BG16," - ")</f>
        <v>-0.23763032356052405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0.25342465753424659</v>
      </c>
      <c r="C17" s="456">
        <f>IF(ISNUMBER(
   IF(D_I="SI",(Datos!J17-Datos!T17)/Datos!T17,(Datos!J17+Datos!AD17-(Datos!T17+Datos!AL17))/(Datos!T17+Datos!AL17))
     ),IF(D_I="SI",(Datos!J17-Datos!T17)/Datos!T17,(Datos!J17+Datos!AD17-(Datos!T17+Datos!AL17))/(Datos!T17+Datos!AL17))," - ")</f>
        <v>-0.13333333333333333</v>
      </c>
      <c r="D17" s="456">
        <f>IF(ISNUMBER(
   IF(D_I="SI",(Datos!K17-Datos!U17)/Datos!U17,(Datos!K17+Datos!AE17-(Datos!U17+Datos!AM17))/(Datos!U17+Datos!AM17))
     ),IF(D_I="SI",(Datos!K17-Datos!U17)/Datos!U17,(Datos!K17+Datos!AE17-(Datos!U17+Datos!AM17))/(Datos!U17+Datos!AM17))," - ")</f>
        <v>6.4516129032258063E-2</v>
      </c>
      <c r="E17" s="456">
        <f>IF(ISNUMBER(
   IF(D_I="SI",(Datos!L17-Datos!V17)/Datos!V17,(Datos!L17+Datos!AF17-(Datos!V17+Datos!AN17))/(Datos!V17+Datos!AN17))
     ),IF(D_I="SI",(Datos!L17-Datos!V17)/Datos!V17,(Datos!L17+Datos!AF17-(Datos!V17+Datos!AN17))/(Datos!V17+Datos!AN17))," - ")</f>
        <v>0.14465408805031446</v>
      </c>
      <c r="F17" s="456">
        <f>IF(ISNUMBER((Datos!M17-Datos!W17)/Datos!W17),(Datos!M17-Datos!W17)/Datos!W17," - ")</f>
        <v>-0.25</v>
      </c>
      <c r="G17" s="457">
        <f>IF(ISNUMBER((Datos!N17-Datos!X17)/Datos!X17),(Datos!N17-Datos!X17)/Datos!X17," - ")</f>
        <v>-0.75471698113207553</v>
      </c>
      <c r="H17" s="455">
        <f>IF(ISNUMBER(((NºAsuntos!G17/NºAsuntos!E17)-Datos!BD17)/Datos!BD17),((NºAsuntos!G17/NºAsuntos!E17)-Datos!BD17)/Datos!BD17," - ")</f>
        <v>0.22828784119106693</v>
      </c>
      <c r="I17" s="456">
        <f>IF(ISNUMBER(((NºAsuntos!I17/NºAsuntos!G17)-Datos!BE17)/Datos!BE17),((NºAsuntos!I17/NºAsuntos!G17)-Datos!BE17)/Datos!BE17," - ")</f>
        <v>7.5281113016962178E-2</v>
      </c>
      <c r="J17" s="461">
        <f>IF(ISNUMBER((('Resol  Asuntos'!D17/NºAsuntos!G17)-Datos!BF17)/Datos!BF17),(('Resol  Asuntos'!D17/NºAsuntos!G17)-Datos!BF17)/Datos!BF17," - ")</f>
        <v>-0.29545454545454547</v>
      </c>
      <c r="K17" s="462">
        <f>IF(ISNUMBER((((NºAsuntos!C17+NºAsuntos!E17)/NºAsuntos!G17)-Datos!BG17)/Datos!BG17),(((NºAsuntos!C17+NºAsuntos!E17)/NºAsuntos!G17)-Datos!BG17)/Datos!BG17," - ")</f>
        <v>5.4161524749760125E-2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6.968641114982578E-2</v>
      </c>
      <c r="C18" s="855">
        <f>IF(ISNUMBER(
   IF(Criterios!B14="SI",(Datos!J18-Datos!T18)/Datos!T18,(Datos!J18+Datos!AD18-(Datos!T18+Datos!AL18))/(Datos!T18+Datos!AL18))
     ),IF(Criterios!B14="SI",(Datos!J18-Datos!T18)/Datos!T18,(Datos!J18+Datos!AD18-(Datos!T18+Datos!AL18))/(Datos!T18+Datos!AL18))," - ")</f>
        <v>0.16945107398568018</v>
      </c>
      <c r="D18" s="855">
        <f>IF(ISNUMBER(
   IF(Criterios!B14="SI",(Datos!K18-Datos!U18)/Datos!U18,(Datos!K18+Datos!AE18-(Datos!U18+Datos!AM18))/(Datos!U18+Datos!AM18))
     ),IF(Criterios!B14="SI",(Datos!K18-Datos!U18)/Datos!U18,(Datos!K18+Datos!AE18-(Datos!U18+Datos!AM18))/(Datos!U18+Datos!AM18))," - ")</f>
        <v>0.35987261146496813</v>
      </c>
      <c r="E18" s="855">
        <f>IF(ISNUMBER(
   IF(Criterios!B14="SI",(Datos!L18-Datos!V18)/Datos!V18,(Datos!L18+Datos!AF18-(Datos!V18+Datos!AN18))/(Datos!V18+Datos!AN18))
     ),IF(Criterios!B14="SI",(Datos!L18-Datos!V18)/Datos!V18,(Datos!L18+Datos!AF18-(Datos!V18+Datos!AN18))/(Datos!V18+Datos!AN18))," - ")</f>
        <v>3.8492381716118684E-2</v>
      </c>
      <c r="F18" s="856">
        <f>IF(ISNUMBER((Datos!M18-Datos!W18)/Datos!W18),(Datos!M18-Datos!W18)/Datos!W18," - ")</f>
        <v>5.3571428571428568E-2</v>
      </c>
      <c r="G18" s="857">
        <f>IF(ISNUMBER((Datos!N18-Datos!X18)/Datos!X18),(Datos!N18-Datos!X18)/Datos!X18," - ")</f>
        <v>-0.21698113207547171</v>
      </c>
      <c r="H18" s="857">
        <f>IF(ISNUMBER(((NºAsuntos!G18/NºAsuntos!E18)-Datos!BD18)/Datos!BD18),((NºAsuntos!G18/NºAsuntos!E18)-Datos!BD18)/Datos!BD18," - ")</f>
        <v>0.16282984531392175</v>
      </c>
      <c r="I18" s="857">
        <f>IF(ISNUMBER(((NºAsuntos!I18/NºAsuntos!G18)-Datos!BE18)/Datos!BE18),((NºAsuntos!I18/NºAsuntos!G18)-Datos!BE18)/Datos!BE18," - ")</f>
        <v>-0.23633112913615625</v>
      </c>
      <c r="J18" s="857">
        <f>IF(ISNUMBER((('Resol  Asuntos'!D18/NºAsuntos!G18)-Datos!BF18)/Datos!BF18),(('Resol  Asuntos'!D18/NºAsuntos!G18)-Datos!BF18)/Datos!BF18," - ")</f>
        <v>-0.22524255603880899</v>
      </c>
      <c r="K18" s="857">
        <f>IF(ISNUMBER((((NºAsuntos!C18+NºAsuntos!E18)/NºAsuntos!G18)-Datos!BG18)/Datos!BG18),(((NºAsuntos!C18+NºAsuntos!E18)/NºAsuntos!G18)-Datos!BG18)/Datos!BG18," - ")</f>
        <v>-0.19377560307812339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0.10041077133728891</v>
      </c>
      <c r="C19" s="802">
        <f>IF(ISNUMBER(
   IF(J_V="SI",(Datos!J19-Datos!T19)/Datos!T19,(Datos!J19+Datos!Z19-(Datos!T19+Datos!AH19))/(Datos!T19+Datos!AH19))
     ),IF(J_V="SI",(Datos!J19-Datos!T19)/Datos!T19,(Datos!J19+Datos!Z19-(Datos!T19+Datos!AH19))/(Datos!T19+Datos!AH19))," - ")</f>
        <v>0.28115942028985508</v>
      </c>
      <c r="D19" s="802">
        <f>IF(ISNUMBER(
   IF(J_V="SI",(Datos!K19-Datos!U19)/Datos!U19,(Datos!K19+Datos!AA19-(Datos!U19+Datos!AI19))/(Datos!U19+Datos!AI19))
     ),IF(J_V="SI",(Datos!K19-Datos!U19)/Datos!U19,(Datos!K19+Datos!AA19-(Datos!U19+Datos!AI19))/(Datos!U19+Datos!AI19))," - ")</f>
        <v>0.34615384615384615</v>
      </c>
      <c r="E19" s="802">
        <f>IF(ISNUMBER(
   IF(J_V="SI",(Datos!L19-Datos!V19)/Datos!V19,(Datos!L19+Datos!AB19-(Datos!V19+Datos!AJ19))/(Datos!V19+Datos!AJ19))
     ),IF(J_V="SI",(Datos!L19-Datos!V19)/Datos!V19,(Datos!L19+Datos!AB19-(Datos!V19+Datos!AJ19))/(Datos!V19+Datos!AJ19))," - ")</f>
        <v>0.11045531197301856</v>
      </c>
      <c r="F19" s="803">
        <f>IF(ISNUMBER((Datos!M19-Datos!W19)/Datos!W19),(Datos!M19-Datos!W19)/Datos!W19," - ")</f>
        <v>0.42222222222222222</v>
      </c>
      <c r="G19" s="804">
        <f>IF(ISNUMBER((Datos!N19-Datos!X19)/Datos!X19),(Datos!N19-Datos!X19)/Datos!X19," - ")</f>
        <v>-9.8305084745762716E-2</v>
      </c>
      <c r="H19" s="805">
        <f>IF(ISNUMBER((Tasas!B19-Datos!BD19)/Datos!BD19),(Tasas!B19-Datos!BD19)/Datos!BD19," - ")</f>
        <v>5.0730943264879834E-2</v>
      </c>
      <c r="I19" s="806">
        <f>IF(ISNUMBER((Tasas!C19-Datos!BE19)/Datos!BE19),(Tasas!C19-Datos!BE19)/Datos!BE19," - ")</f>
        <v>-0.17509033967718624</v>
      </c>
      <c r="J19" s="807">
        <f>IF(ISNUMBER((Tasas!D19-Datos!BF19)/Datos!BF19),(Tasas!D19-Datos!BF19)/Datos!BF19," - ")</f>
        <v>-0.31593011305241514</v>
      </c>
      <c r="K19" s="807">
        <f>IF(ISNUMBER((Tasas!E19-Datos!BG19)/Datos!BG19),(Tasas!E19-Datos!BG19)/Datos!BG19," - ")</f>
        <v>-0.15039420836019235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14/PadGwOOj6xRWPOCP20ObcHgYlmmAYeQfRBp+Q+JSRt+PXq74v1a6aW4kBoDQ32L7wc+GJY/xZVc4UBqE7w==" saltValue="TEqzmx4qRsY7psB8ZVje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JUMILLA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0.60869565217391308</v>
      </c>
      <c r="C12" s="443">
        <f>IF(ISNUMBER(NºAsuntos!I12/NºAsuntos!G12),NºAsuntos!I12/NºAsuntos!G12," - ")</f>
        <v>5.4369747899159666</v>
      </c>
      <c r="D12" s="444">
        <f>IF(ISNUMBER('Resol  Asuntos'!D12/NºAsuntos!G12),'Resol  Asuntos'!D12/NºAsuntos!G12," - ")</f>
        <v>0.28991596638655465</v>
      </c>
      <c r="E12" s="445">
        <f>IF(ISNUMBER((NºAsuntos!C12+NºAsuntos!E12)/NºAsuntos!G12),(NºAsuntos!C12+NºAsuntos!E12)/NºAsuntos!G12," - ")</f>
        <v>6.4369747899159666</v>
      </c>
      <c r="G12" s="463"/>
    </row>
    <row r="13" spans="1:7" ht="14.25" thickTop="1" thickBot="1">
      <c r="A13" s="848" t="str">
        <f>Datos!A13</f>
        <v>TOTAL</v>
      </c>
      <c r="B13" s="858">
        <f>IF(ISNUMBER(NºAsuntos!G13/NºAsuntos!E13),NºAsuntos!G13/NºAsuntos!E13," - ")</f>
        <v>0.60406091370558379</v>
      </c>
      <c r="C13" s="859">
        <f>IF(ISNUMBER(NºAsuntos!I13/NºAsuntos!G13),NºAsuntos!I13/NºAsuntos!G13," - ")</f>
        <v>5.6260504201680677</v>
      </c>
      <c r="D13" s="860">
        <f>IF(ISNUMBER('Resol  Asuntos'!D13/NºAsuntos!G13),'Resol  Asuntos'!D13/NºAsuntos!G13," - ")</f>
        <v>0.28991596638655465</v>
      </c>
      <c r="E13" s="861">
        <f>IF(ISNUMBER((NºAsuntos!C13+NºAsuntos!E13)/NºAsuntos!G13),(NºAsuntos!C13+NºAsuntos!E13)/NºAsuntos!G13," - ")</f>
        <v>6.6260504201680677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0.84941176470588231</v>
      </c>
      <c r="C16" s="443">
        <f>IF(ISNUMBER(NºAsuntos!I16/NºAsuntos!G16),NºAsuntos!I16/NºAsuntos!G16," - ")</f>
        <v>3.0831024930747923</v>
      </c>
      <c r="D16" s="444">
        <f>IF(ISNUMBER('Resol  Asuntos'!D16/NºAsuntos!G16),'Resol  Asuntos'!D16/NºAsuntos!G16," - ")</f>
        <v>0.12188365650969529</v>
      </c>
      <c r="E16" s="445">
        <f>IF(ISNUMBER((NºAsuntos!C16+NºAsuntos!E16)/NºAsuntos!G16),(NºAsuntos!C16+NºAsuntos!E16)/NºAsuntos!G16," - ")</f>
        <v>4.0720221606648197</v>
      </c>
      <c r="G16" s="463"/>
    </row>
    <row r="17" spans="1:7" ht="13.5" thickBot="1">
      <c r="A17" s="402" t="str">
        <f>Datos!A17</f>
        <v>Jdos. Violencia contra la mujer</v>
      </c>
      <c r="B17" s="442">
        <f>IF(ISNUMBER(NºAsuntos!G17/NºAsuntos!E17),NºAsuntos!G17/NºAsuntos!E17," - ")</f>
        <v>1.0153846153846153</v>
      </c>
      <c r="C17" s="443">
        <f>IF(ISNUMBER(NºAsuntos!I17/NºAsuntos!G17),NºAsuntos!I17/NºAsuntos!G17," - ")</f>
        <v>2.7575757575757578</v>
      </c>
      <c r="D17" s="444">
        <f>IF(ISNUMBER('Resol  Asuntos'!D17/NºAsuntos!G17),'Resol  Asuntos'!D17/NºAsuntos!G17," - ")</f>
        <v>0.22727272727272727</v>
      </c>
      <c r="E17" s="445">
        <f>IF(ISNUMBER((NºAsuntos!C17+NºAsuntos!E17)/NºAsuntos!G17),(NºAsuntos!C17+NºAsuntos!E17)/NºAsuntos!G17," - ")</f>
        <v>3.7575757575757578</v>
      </c>
      <c r="G17" s="463"/>
    </row>
    <row r="18" spans="1:7" ht="14.25" thickTop="1" thickBot="1">
      <c r="A18" s="848" t="str">
        <f>Datos!A18</f>
        <v>TOTAL</v>
      </c>
      <c r="B18" s="858">
        <f>IF(ISNUMBER(NºAsuntos!G18/NºAsuntos!E18),NºAsuntos!G18/NºAsuntos!E18," - ")</f>
        <v>0.87142857142857144</v>
      </c>
      <c r="C18" s="859">
        <f>IF(ISNUMBER(NºAsuntos!I18/NºAsuntos!G18),NºAsuntos!I18/NºAsuntos!G18," - ")</f>
        <v>3.0327868852459017</v>
      </c>
      <c r="D18" s="862">
        <f>IF(ISNUMBER('Resol  Asuntos'!D18/NºAsuntos!G18),'Resol  Asuntos'!D18/NºAsuntos!G18," - ")</f>
        <v>0.13817330210772832</v>
      </c>
      <c r="E18" s="861">
        <f>IF(ISNUMBER((NºAsuntos!C18+NºAsuntos!E18)/NºAsuntos!G18),(NºAsuntos!C18+NºAsuntos!E18)/NºAsuntos!G18," - ")</f>
        <v>4.0234192037470722</v>
      </c>
      <c r="G18" s="463"/>
    </row>
    <row r="19" spans="1:7" ht="15.75" customHeight="1" thickTop="1" thickBot="1">
      <c r="A19" s="793" t="str">
        <f>Datos!A19</f>
        <v>TOTAL JURISDICCIONES</v>
      </c>
      <c r="B19" s="808">
        <f>IF(ISNUMBER(NºAsuntos!G19/NºAsuntos!E19),NºAsuntos!G19/NºAsuntos!E19," - ")</f>
        <v>0.75226244343891402</v>
      </c>
      <c r="C19" s="809">
        <f>IF(ISNUMBER(NºAsuntos!I19/NºAsuntos!G19),NºAsuntos!I19/NºAsuntos!G19," - ")</f>
        <v>3.9609022556390978</v>
      </c>
      <c r="D19" s="810">
        <f>IF(ISNUMBER('Resol  Asuntos'!D19/NºAsuntos!G19),'Resol  Asuntos'!D19/NºAsuntos!G19," - ")</f>
        <v>0.19248120300751881</v>
      </c>
      <c r="E19" s="811">
        <f>IF(ISNUMBER((NºAsuntos!C19+NºAsuntos!E19)/NºAsuntos!G19),(NºAsuntos!C19+NºAsuntos!E19)/NºAsuntos!G19," - ")</f>
        <v>4.9548872180451129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Yvj/GKy3kyWu6OCD5LVAvHqn4Oi5tA/gPjwAgFtXmffcdbP5uoTja2yer3nAHyLRdVlDg06lOcXrcRfHk/+rg==" saltValue="Wf3fiNuvEBC3wCsG2En5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JUMILLA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45</v>
      </c>
      <c r="AB10" s="334">
        <f>IF(ISNUMBER(Datos!R10),Datos!R10," - ")</f>
        <v>7</v>
      </c>
      <c r="AC10" s="334">
        <f t="shared" ref="AC10:AC12" si="1">IF(ISNUMBER(AA10+AB10),AA10+AB10," - ")</f>
        <v>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348</v>
      </c>
      <c r="Y12" s="334">
        <f t="shared" si="0"/>
        <v>348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v>
      </c>
      <c r="AJ12" s="229" t="str">
        <f>IF(ISNUMBER(Datos!BW12),Datos!BW12," - ")</f>
        <v xml:space="preserve"> - </v>
      </c>
      <c r="AK12" s="228" t="str">
        <f>IF(ISNUMBER(Datos!BX12),Datos!BX12," - ")</f>
        <v xml:space="preserve"> - </v>
      </c>
      <c r="AL12" s="243">
        <f>IF(ISNUMBER(NºAsuntos!G12/NºAsuntos!E12),NºAsuntos!G12/NºAsuntos!E12," - ")</f>
        <v>0.60869565217391308</v>
      </c>
      <c r="AM12" s="260">
        <f>IF(ISNUMBER(((NºAsuntos!I12/NºAsuntos!G12)*11)/factor_trimestre),((NºAsuntos!I12/NºAsuntos!G12)*11)/factor_trimestre," - ")</f>
        <v>10.873949579831933</v>
      </c>
      <c r="AN12" s="244">
        <f>IF(ISNUMBER('Resol  Asuntos'!D12/NºAsuntos!G12),'Resol  Asuntos'!D12/NºAsuntos!G12," - ")</f>
        <v>0.28991596638655465</v>
      </c>
      <c r="AO12" s="245">
        <f>IF(ISNUMBER((NºAsuntos!C12+NºAsuntos!E12)/NºAsuntos!G12),(NºAsuntos!C12+NºAsuntos!E12)/NºAsuntos!G12," - ")</f>
        <v>6.4369747899159666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42</v>
      </c>
      <c r="G13" s="866">
        <f t="shared" si="3"/>
        <v>42</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348</v>
      </c>
      <c r="Y13" s="868">
        <f t="shared" si="4"/>
        <v>348</v>
      </c>
      <c r="Z13" s="868">
        <f t="shared" si="4"/>
        <v>0</v>
      </c>
      <c r="AA13" s="868">
        <f t="shared" si="4"/>
        <v>45</v>
      </c>
      <c r="AB13" s="868">
        <f t="shared" si="4"/>
        <v>1467</v>
      </c>
      <c r="AC13" s="868">
        <f t="shared" si="4"/>
        <v>52</v>
      </c>
      <c r="AD13" s="868">
        <f t="shared" si="4"/>
        <v>0</v>
      </c>
      <c r="AE13" s="872">
        <f t="shared" si="4"/>
        <v>0</v>
      </c>
      <c r="AF13" s="865">
        <f t="shared" si="4"/>
        <v>0</v>
      </c>
      <c r="AG13" s="873">
        <f t="shared" si="4"/>
        <v>0</v>
      </c>
      <c r="AH13" s="870">
        <f t="shared" si="4"/>
        <v>0</v>
      </c>
      <c r="AI13" s="865">
        <f t="shared" si="4"/>
        <v>69</v>
      </c>
      <c r="AJ13" s="867">
        <f t="shared" si="4"/>
        <v>0</v>
      </c>
      <c r="AK13" s="870">
        <f>SUBTOTAL(9,AK9:AK12)</f>
        <v>0</v>
      </c>
      <c r="AL13" s="874">
        <f>IF(ISNUMBER(NºAsuntos!G13/NºAsuntos!E13),NºAsuntos!G13/NºAsuntos!E13," - ")</f>
        <v>0.60406091370558379</v>
      </c>
      <c r="AM13" s="874">
        <f>IF(ISNUMBER(((NºAsuntos!I13/NºAsuntos!G13)*11)/factor_trimestre),((NºAsuntos!I13/NºAsuntos!G13)*11)/factor_trimestre," - ")</f>
        <v>11.252100840336135</v>
      </c>
      <c r="AN13" s="875">
        <f>IF(ISNUMBER('Resol  Asuntos'!D13/NºAsuntos!G13),'Resol  Asuntos'!D13/NºAsuntos!G13," - ")</f>
        <v>0.28991596638655465</v>
      </c>
      <c r="AO13" s="876">
        <f>IF(ISNUMBER((NºAsuntos!C13+NºAsuntos!E13)/NºAsuntos!G13),(NºAsuntos!C13+NºAsuntos!E13)/NºAsuntos!G13," - ")</f>
        <v>6.6260504201680677</v>
      </c>
      <c r="AP13" s="877" t="str">
        <f t="shared" si="2"/>
        <v xml:space="preserve"> - </v>
      </c>
      <c r="AQ13" s="877">
        <f>IF(ISNUMBER((H13-W13+K13)/(F13)),(H13-W13+K13)/(F13)," - ")</f>
        <v>0</v>
      </c>
      <c r="AR13" s="878">
        <f>IF(ISNUMBER((Datos!P13-Datos!Q13)/(Datos!R13-Datos!P13+Datos!Q13)),(Datos!P13-Datos!Q13)/(Datos!R13-Datos!P13+Datos!Q13)," - ")</f>
        <v>-0.18044692737430168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1049</v>
      </c>
      <c r="G16" s="333">
        <f>IF(ISNUMBER(IF(D_I="SI",Datos!I16,Datos!I16+Datos!AC16)),IF(D_I="SI",Datos!I16,Datos!I16+Datos!AC16)," - ")</f>
        <v>1045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361</v>
      </c>
      <c r="X16" s="226">
        <f>IF(ISNUMBER(Datos!Q16),Datos!Q16," - ")</f>
        <v>17</v>
      </c>
      <c r="Y16" s="334">
        <f t="shared" ref="Y16:Y17" si="7">SUM(W16:X16)</f>
        <v>378</v>
      </c>
      <c r="Z16" s="335" t="str">
        <f>IF(ISNUMBER(Datos!CC16),Datos!CC16," - ")</f>
        <v xml:space="preserve"> - </v>
      </c>
      <c r="AA16" s="332">
        <f>IF(ISNUMBER(IF(D_I="SI",Datos!L16,Datos!L16+Datos!AF16)),IF(D_I="SI",Datos!L16,Datos!L16+Datos!AF16)," - ")</f>
        <v>1113</v>
      </c>
      <c r="AB16" s="334">
        <f>IF(ISNUMBER(Datos!R16),Datos!R16," - ")</f>
        <v>125</v>
      </c>
      <c r="AC16" s="334">
        <f t="shared" si="6"/>
        <v>1238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0.84941176470588231</v>
      </c>
      <c r="AM16" s="260">
        <f>IF(ISNUMBER(((NºAsuntos!I16/NºAsuntos!G16)*11)/factor_trimestre),((NºAsuntos!I16/NºAsuntos!G16)*11)/factor_trimestre," - ")</f>
        <v>6.1662049861495838</v>
      </c>
      <c r="AN16" s="244">
        <f>IF(ISNUMBER('Resol  Asuntos'!D16/NºAsuntos!G16),'Resol  Asuntos'!D16/NºAsuntos!G16," - ")</f>
        <v>0.12188365650969529</v>
      </c>
      <c r="AO16" s="245">
        <f>IF(ISNUMBER((NºAsuntos!C16+NºAsuntos!E16)/NºAsuntos!G16),(NºAsuntos!C16+NºAsuntos!E16)/NºAsuntos!G16," - ")</f>
        <v>4.0720221606648197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v>
      </c>
      <c r="X17" s="226">
        <f>IF(ISNUMBER(Datos!Q17),Datos!Q17," - ")</f>
        <v>0</v>
      </c>
      <c r="Y17" s="334">
        <f t="shared" si="7"/>
        <v>66</v>
      </c>
      <c r="Z17" s="335" t="str">
        <f>IF(ISNUMBER(Datos!CC17),Datos!CC17," - ")</f>
        <v xml:space="preserve"> - </v>
      </c>
      <c r="AA17" s="332">
        <f>IF(ISNUMBER(Datos!L17),Datos!L17,"-")</f>
        <v>182</v>
      </c>
      <c r="AB17" s="334">
        <f>IF(ISNUMBER(Datos!R17),Datos!R17," - ")</f>
        <v>1</v>
      </c>
      <c r="AC17" s="334">
        <f t="shared" si="6"/>
        <v>183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1.0153846153846153</v>
      </c>
      <c r="AM17" s="260">
        <f>IF(ISNUMBER(((NºAsuntos!I17/NºAsuntos!G17)*11)/factor_trimestre),((NºAsuntos!I17/NºAsuntos!G17)*11)/factor_trimestre," - ")</f>
        <v>5.5151515151515156</v>
      </c>
      <c r="AN17" s="244">
        <f>IF(ISNUMBER('Resol  Asuntos'!D17/NºAsuntos!G17),'Resol  Asuntos'!D17/NºAsuntos!G17," - ")</f>
        <v>0.22727272727272727</v>
      </c>
      <c r="AO17" s="245">
        <f>IF(ISNUMBER((NºAsuntos!C17+NºAsuntos!E17)/NºAsuntos!G17),(NºAsuntos!C17+NºAsuntos!E17)/NºAsuntos!G17," - ")</f>
        <v>3.7575757575757578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1049</v>
      </c>
      <c r="G18" s="866">
        <f>SUBTOTAL(9,G15:G17)</f>
        <v>1228</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427</v>
      </c>
      <c r="X18" s="867">
        <f t="shared" si="11"/>
        <v>17</v>
      </c>
      <c r="Y18" s="868">
        <f t="shared" si="11"/>
        <v>444</v>
      </c>
      <c r="Z18" s="868">
        <f t="shared" si="11"/>
        <v>0</v>
      </c>
      <c r="AA18" s="868">
        <f t="shared" si="11"/>
        <v>1295</v>
      </c>
      <c r="AB18" s="868">
        <f t="shared" si="11"/>
        <v>126</v>
      </c>
      <c r="AC18" s="868">
        <f t="shared" si="11"/>
        <v>1421</v>
      </c>
      <c r="AD18" s="868">
        <f t="shared" si="11"/>
        <v>0</v>
      </c>
      <c r="AE18" s="872">
        <f t="shared" si="11"/>
        <v>0</v>
      </c>
      <c r="AF18" s="865">
        <f t="shared" si="11"/>
        <v>0</v>
      </c>
      <c r="AG18" s="873">
        <f t="shared" si="11"/>
        <v>0</v>
      </c>
      <c r="AH18" s="870">
        <f t="shared" si="11"/>
        <v>0</v>
      </c>
      <c r="AI18" s="865">
        <f t="shared" si="11"/>
        <v>59</v>
      </c>
      <c r="AJ18" s="867">
        <f t="shared" si="11"/>
        <v>0</v>
      </c>
      <c r="AK18" s="870">
        <f t="shared" si="11"/>
        <v>0</v>
      </c>
      <c r="AL18" s="874">
        <f>IF(ISNUMBER(NºAsuntos!G18/NºAsuntos!E18),NºAsuntos!G18/NºAsuntos!E18," - ")</f>
        <v>0.87142857142857144</v>
      </c>
      <c r="AM18" s="874">
        <f>IF(ISNUMBER(((NºAsuntos!I18/NºAsuntos!G18)*11)/factor_trimestre),((NºAsuntos!I18/NºAsuntos!G18)*11)/factor_trimestre," - ")</f>
        <v>6.0655737704918034</v>
      </c>
      <c r="AN18" s="875">
        <f>IF(ISNUMBER('Resol  Asuntos'!D18/NºAsuntos!G18),'Resol  Asuntos'!D18/NºAsuntos!G18," - ")</f>
        <v>0.13817330210772832</v>
      </c>
      <c r="AO18" s="876">
        <f>IF(ISNUMBER((NºAsuntos!C18+NºAsuntos!E18)/NºAsuntos!G18),(NºAsuntos!C18+NºAsuntos!E18)/NºAsuntos!G18," - ")</f>
        <v>4.0234192037470722</v>
      </c>
      <c r="AP18" s="877" t="str">
        <f t="shared" si="2"/>
        <v xml:space="preserve"> - </v>
      </c>
      <c r="AQ18" s="877">
        <f>IF(ISNUMBER((H18-W18+K18)/(F18)),(H18-W18+K18)/(F18)," - ")</f>
        <v>-0.40705433746425168</v>
      </c>
      <c r="AR18" s="878">
        <f>IF(ISNUMBER((Datos!P18-Datos!Q18)/(Datos!R18-Datos!P18+Datos!Q18)),(Datos!P18-Datos!Q18)/(Datos!R18-Datos!P18+Datos!Q18)," - ")</f>
        <v>-2.3255813953488372E-2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1091</v>
      </c>
      <c r="G19" s="821">
        <f t="shared" si="13"/>
        <v>1270</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427</v>
      </c>
      <c r="X19" s="821">
        <f t="shared" si="14"/>
        <v>365</v>
      </c>
      <c r="Y19" s="828">
        <f t="shared" si="14"/>
        <v>792</v>
      </c>
      <c r="Z19" s="828">
        <f t="shared" si="14"/>
        <v>0</v>
      </c>
      <c r="AA19" s="828">
        <f t="shared" si="14"/>
        <v>1340</v>
      </c>
      <c r="AB19" s="828">
        <f t="shared" si="14"/>
        <v>1593</v>
      </c>
      <c r="AC19" s="828">
        <f t="shared" si="14"/>
        <v>1473</v>
      </c>
      <c r="AD19" s="828">
        <f t="shared" si="14"/>
        <v>0</v>
      </c>
      <c r="AE19" s="830">
        <f t="shared" si="14"/>
        <v>0</v>
      </c>
      <c r="AF19" s="831">
        <f t="shared" si="14"/>
        <v>0</v>
      </c>
      <c r="AG19" s="832">
        <f t="shared" si="14"/>
        <v>0</v>
      </c>
      <c r="AH19" s="830">
        <f t="shared" si="14"/>
        <v>0</v>
      </c>
      <c r="AI19" s="820">
        <f t="shared" si="14"/>
        <v>128</v>
      </c>
      <c r="AJ19" s="820">
        <f t="shared" si="14"/>
        <v>0</v>
      </c>
      <c r="AK19" s="830">
        <f t="shared" si="14"/>
        <v>0</v>
      </c>
      <c r="AL19" s="884">
        <f>IF(ISNUMBER(NºAsuntos!G19/NºAsuntos!E19),NºAsuntos!G19/NºAsuntos!E19," - ")</f>
        <v>0.75226244343891402</v>
      </c>
      <c r="AM19" s="885">
        <f>IF(ISNUMBER(((NºAsuntos!I19/NºAsuntos!G19)*11)/factor_trimestre),((NºAsuntos!I19/NºAsuntos!G19)*11)/factor_trimestre," - ")</f>
        <v>7.9218045112781956</v>
      </c>
      <c r="AN19" s="885">
        <f>IF(ISNUMBER('Resol  Asuntos'!D19/NºAsuntos!G19),'Resol  Asuntos'!D19/NºAsuntos!G19," - ")</f>
        <v>0.19248120300751881</v>
      </c>
      <c r="AO19" s="886">
        <f>IF(ISNUMBER((NºAsuntos!C19+NºAsuntos!E19)/NºAsuntos!G19),(NºAsuntos!C19+NºAsuntos!E19)/NºAsuntos!G19," - ")</f>
        <v>4.9548872180451129</v>
      </c>
      <c r="AP19" s="887" t="str">
        <f t="shared" si="2"/>
        <v xml:space="preserve"> - </v>
      </c>
      <c r="AQ19" s="888">
        <f>IF(OR(ISNUMBER(FIND("01",Criterios!A8,1)),ISNUMBER(FIND("02",Criterios!A8,1)),ISNUMBER(FIND("03",Criterios!A8,1)),ISNUMBER(FIND("04",Criterios!A8,1))),(I19-W19+K19)/(F19-K19),(H19-W19+K19)/(F19-K19))</f>
        <v>-0.3913840513290559</v>
      </c>
      <c r="AR19" s="889">
        <f>IF(ISNUMBER((Datos!P19-Datos!Q19)/(Datos!R19-Datos!P19+Datos!Q19)),(Datos!P19-Datos!Q19)/(Datos!R19-Datos!P19+Datos!Q19)," - ")</f>
        <v>-0.16988014590932776</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581.39172107395314</v>
      </c>
      <c r="G21" s="253">
        <f>IF(ISNUMBER(STDEV(G8:G18)),STDEV(G8:G18),"-")</f>
        <v>580.23831310936373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206.84704493900801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29.12501788268407</v>
      </c>
      <c r="AJ21" s="252">
        <f t="shared" si="18"/>
        <v>0</v>
      </c>
      <c r="AK21" s="254">
        <f t="shared" si="18"/>
        <v>0</v>
      </c>
      <c r="AL21" s="249">
        <f t="shared" si="18"/>
        <v>0.3600605963627701</v>
      </c>
      <c r="AM21" s="250">
        <f t="shared" si="18"/>
        <v>2.8333637370223936</v>
      </c>
      <c r="AN21" s="250">
        <f t="shared" si="18"/>
        <v>8.0523491546896211E-2</v>
      </c>
      <c r="AO21" s="251">
        <f t="shared" si="18"/>
        <v>1.4200350046612085</v>
      </c>
      <c r="AP21" s="291" t="str">
        <f t="shared" si="18"/>
        <v>-</v>
      </c>
      <c r="AQ21" s="292">
        <f t="shared" si="18"/>
        <v>0.2878308823323697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0J177WL5KlcP0tOHr4yBqm+qS1pQLN+xkoIqeij65qNMaXCn/eUYouVBX5QuwEe5n3KMbwUXI8RDl3jTtNbqA==" saltValue="T+MVAjW5K3x000zAxCXd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JUMILLA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0.3125</v>
      </c>
      <c r="E10" s="348">
        <f>IF(ISNUMBER((Datos!J10-Datos!T10)/Datos!T10),(Datos!J10-Datos!T10)/Datos!T10," - ")</f>
        <v>-0.75</v>
      </c>
      <c r="F10" s="348">
        <f>IF(ISNUMBER((Datos!K10-Datos!U10)/Datos!U10),(Datos!K10-Datos!U10)/Datos!U10," - ")</f>
        <v>-1</v>
      </c>
      <c r="G10" s="349">
        <f>IF(ISNUMBER((Datos!L10-Datos!V10)/Datos!V10),(Datos!L10-Datos!V10)/Datos!V10," - ")</f>
        <v>0.18421052631578946</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1.15625</v>
      </c>
      <c r="I12" s="350">
        <f>IF(ISNUMBER((Tasas!C12-Datos!BE12)/Datos!BE12),(Tasas!C12-Datos!BE12)/Datos!BE12," - ")</f>
        <v>-0.12968388827472102</v>
      </c>
      <c r="J12" s="349">
        <f>IF(ISNUMBER((Tasas!D12-Datos!BF12)/Datos!BF12),(Tasas!D12-Datos!BF12)/Datos!BF12," - ")</f>
        <v>-0.37721755368814186</v>
      </c>
      <c r="K12" s="351">
        <f>IF(ISNUMBER((Tasas!E12-Datos!BG12)/Datos!BG12),(Tasas!E12-Datos!BG12)/Datos!BG12," - ")</f>
        <v>-0.11808376894064708</v>
      </c>
      <c r="M12" t="e">
        <f>IF(Monitorios="SI",Datos!CE12,0)</f>
        <v>#REF!</v>
      </c>
      <c r="N12" t="e">
        <f>IF(Monitorios="SI",Datos!CF12,0)</f>
        <v>#REF!</v>
      </c>
      <c r="O12" t="e">
        <f>IF(Monitorios="SI",Datos!CG12,0)</f>
        <v>#REF!</v>
      </c>
      <c r="P12" t="e">
        <f>IF(Monitorios="SI",Datos!CH12,0)</f>
        <v>#REF!</v>
      </c>
      <c r="Q12">
        <f>IF(J_V="SI",0,Datos!AG12)</f>
        <v>30</v>
      </c>
      <c r="R12">
        <f>IF(J_V="SI",0,Datos!AH12)</f>
        <v>15</v>
      </c>
      <c r="S12">
        <f>IF(J_V="SI",0,Datos!AI12)</f>
        <v>8</v>
      </c>
      <c r="T12">
        <f>IF(J_V="SI",0,Datos!AJ12)</f>
        <v>37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1.0294117647058822</v>
      </c>
      <c r="I13" s="357">
        <f>IF(ISNUMBER((Tasas!C13-Datos!BE13)/Datos!BE13),(Tasas!C13-Datos!BE13)/Datos!BE13," - ")</f>
        <v>-9.9831932773109172E-2</v>
      </c>
      <c r="J13" s="355">
        <f>IF(ISNUMBER((Tasas!D13-Datos!BF13)/Datos!BF13),(Tasas!D13-Datos!BF13)/Datos!BF13," - ")</f>
        <v>-0.3712665789207249</v>
      </c>
      <c r="K13" s="358">
        <f>IF(ISNUMBER((Tasas!E13-Datos!BG13)/Datos!BG13),(Tasas!E13-Datos!BG13)/Datos!BG13," - ")</f>
        <v>-9.2321860250949614E-2</v>
      </c>
      <c r="M13" t="e">
        <f>IF(Monitorios="SI",Datos!CE13,0)</f>
        <v>#REF!</v>
      </c>
      <c r="N13" t="e">
        <f>IF(Monitorios="SI",Datos!CF13,0)</f>
        <v>#REF!</v>
      </c>
      <c r="O13" t="e">
        <f>IF(Monitorios="SI",Datos!CG13,0)</f>
        <v>#REF!</v>
      </c>
      <c r="P13" t="e">
        <f>IF(Monitorios="SI",Datos!CH13,0)</f>
        <v>#REF!</v>
      </c>
      <c r="Q13">
        <f>IF(J_V="SI",0,Datos!AG13)</f>
        <v>30</v>
      </c>
      <c r="R13">
        <f>IF(J_V="SI",0,Datos!AH13)</f>
        <v>15</v>
      </c>
      <c r="S13">
        <f>IF(J_V="SI",0,Datos!AI13)</f>
        <v>8</v>
      </c>
      <c r="T13">
        <f>IF(J_V="SI",0,Datos!AJ13)</f>
        <v>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4.291417165668663E-2</v>
      </c>
      <c r="E16" s="348">
        <f>IF(ISNUMBER(
   IF(D_I="SI",(Datos!J16-Datos!T16)/Datos!T16,(Datos!J16+Datos!AD16-(Datos!T16+Datos!AL16))/(Datos!T16+Datos!AL16))
     ),IF(D_I="SI",(Datos!J16-Datos!T16)/Datos!T16,(Datos!J16+Datos!AD16-(Datos!T16+Datos!AL16))/(Datos!T16+Datos!AL16))," - ")</f>
        <v>0.23546511627906977</v>
      </c>
      <c r="F16" s="348">
        <f>IF(ISNUMBER(
   IF(D_I="SI",(Datos!K16-Datos!U16)/Datos!U16,(Datos!K16+Datos!AE16-(Datos!U16+Datos!AM16))/(Datos!U16+Datos!AM16))
     ),IF(D_I="SI",(Datos!K16-Datos!U16)/Datos!U16,(Datos!K16+Datos!AE16-(Datos!U16+Datos!AM16))/(Datos!U16+Datos!AM16))," - ")</f>
        <v>0.43253968253968256</v>
      </c>
      <c r="G16" s="349">
        <f>IF(ISNUMBER(
   IF(D_I="SI",(Datos!L16-Datos!V16)/Datos!V16,(Datos!L16+Datos!AF16-(Datos!V16+Datos!AN16))/(Datos!V16+Datos!AN16))
     ),IF(D_I="SI",(Datos!L16-Datos!V16)/Datos!V16,(Datos!L16+Datos!AF16-(Datos!V16+Datos!AN16))/(Datos!V16+Datos!AN16))," - ")</f>
        <v>2.297794117647059E-2</v>
      </c>
      <c r="H16" s="230">
        <f>IF(ISNUMBER((Datos!M16-Datos!W16)/Datos!W16),(Datos!M16-Datos!W16)/Datos!W16," - ")</f>
        <v>0.22222222222222221</v>
      </c>
      <c r="I16" s="350">
        <f>IF(ISNUMBER((Tasas!C16-Datos!BE16)/Datos!BE16),(Tasas!C16-Datos!BE16)/Datos!BE16," - ")</f>
        <v>-0.2858990549128238</v>
      </c>
      <c r="J16" s="349">
        <f>IF(ISNUMBER((Tasas!D16-Datos!BF16)/Datos!BF16),(Tasas!D16-Datos!BF16)/Datos!BF16," - ")</f>
        <v>-0.14681440443213289</v>
      </c>
      <c r="K16" s="351">
        <f>IF(ISNUMBER((Tasas!E16-Datos!BG16)/Datos!BG16),(Tasas!E16-Datos!BG16)/Datos!BG16," - ")</f>
        <v>-0.23763032356052405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0.25342465753424659</v>
      </c>
      <c r="E17" s="348">
        <f>IF(ISNUMBER(
   IF(D_I="SI",(Datos!J17-Datos!T17)/Datos!T17,(Datos!J17+Datos!AD17-(Datos!T17+Datos!AL17))/(Datos!T17+Datos!AL17))
     ),IF(D_I="SI",(Datos!J17-Datos!T17)/Datos!T17,(Datos!J17+Datos!AD17-(Datos!T17+Datos!AL17))/(Datos!T17+Datos!AL17))," - ")</f>
        <v>-0.13333333333333333</v>
      </c>
      <c r="F17" s="348">
        <f>IF(ISNUMBER(
   IF(D_I="SI",(Datos!K17-Datos!U17)/Datos!U17,(Datos!K17+Datos!AE17-(Datos!U17+Datos!AM17))/(Datos!U17+Datos!AM17))
     ),IF(D_I="SI",(Datos!K17-Datos!U17)/Datos!U17,(Datos!K17+Datos!AE17-(Datos!U17+Datos!AM17))/(Datos!U17+Datos!AM17))," - ")</f>
        <v>6.4516129032258063E-2</v>
      </c>
      <c r="G17" s="349">
        <f>IF(ISNUMBER(
   IF(D_I="SI",(Datos!L17-Datos!V17)/Datos!V17,(Datos!L17+Datos!AF17-(Datos!V17+Datos!AN17))/(Datos!V17+Datos!AN17))
     ),IF(D_I="SI",(Datos!L17-Datos!V17)/Datos!V17,(Datos!L17+Datos!AF17-(Datos!V17+Datos!AN17))/(Datos!V17+Datos!AN17))," - ")</f>
        <v>0.14465408805031446</v>
      </c>
      <c r="H17" s="230">
        <f>IF(ISNUMBER((Datos!M17-Datos!W17)/Datos!W17),(Datos!M17-Datos!W17)/Datos!W17," - ")</f>
        <v>-0.25</v>
      </c>
      <c r="I17" s="350">
        <f>IF(ISNUMBER((Tasas!C17-Datos!BE17)/Datos!BE17),(Tasas!C17-Datos!BE17)/Datos!BE17," - ")</f>
        <v>7.5281113016962178E-2</v>
      </c>
      <c r="J17" s="349">
        <f>IF(ISNUMBER((Tasas!D17-Datos!BF17)/Datos!BF17),(Tasas!D17-Datos!BF17)/Datos!BF17," - ")</f>
        <v>-0.29545454545454547</v>
      </c>
      <c r="K17" s="351">
        <f>IF(ISNUMBER((Tasas!E17-Datos!BG17)/Datos!BG17),(Tasas!E17-Datos!BG17)/Datos!BG17," - ")</f>
        <v>5.4161524749760125E-2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6.968641114982578E-2</v>
      </c>
      <c r="E18" s="354">
        <f>IF(ISNUMBER(
   IF(D_I="SI",(Datos!J18-Datos!T18)/Datos!T18,(Datos!J18+Datos!AD18-(Datos!T18+Datos!AL18))/(Datos!T18+Datos!AL18))
     ),IF(D_I="SI",(Datos!J18-Datos!T18)/Datos!T18,(Datos!J18+Datos!AD18-(Datos!T18+Datos!AL18))/(Datos!T18+Datos!AL18))," - ")</f>
        <v>0.16945107398568018</v>
      </c>
      <c r="F18" s="354">
        <f>IF(ISNUMBER(
   IF(D_I="SI",(Datos!K18-Datos!U18)/Datos!U18,(Datos!K18+Datos!AE18-(Datos!U18+Datos!AM18))/(Datos!U18+Datos!AM18))
     ),IF(D_I="SI",(Datos!K18-Datos!U18)/Datos!U18,(Datos!K18+Datos!AE18-(Datos!U18+Datos!AM18))/(Datos!U18+Datos!AM18))," - ")</f>
        <v>0.35987261146496813</v>
      </c>
      <c r="G18" s="355">
        <f>IF(ISNUMBER(
   IF(D_I="SI",(Datos!L18-Datos!V18)/Datos!V18,(Datos!L18+Datos!AF18-(Datos!V18+Datos!AN18))/(Datos!V18+Datos!AN18))
     ),IF(D_I="SI",(Datos!L18-Datos!V18)/Datos!V18,(Datos!L18+Datos!AF18-(Datos!V18+Datos!AN18))/(Datos!V18+Datos!AN18))," - ")</f>
        <v>3.8492381716118684E-2</v>
      </c>
      <c r="H18" s="356">
        <f>IF(ISNUMBER((Datos!M18-Datos!W18)/Datos!W18),(Datos!M18-Datos!W18)/Datos!W18," - ")</f>
        <v>5.3571428571428568E-2</v>
      </c>
      <c r="I18" s="357">
        <f>IF(ISNUMBER((Tasas!C18-Datos!BE18)/Datos!BE18),(Tasas!C18-Datos!BE18)/Datos!BE18," - ")</f>
        <v>-0.23633112913615625</v>
      </c>
      <c r="J18" s="355">
        <f>IF(ISNUMBER((Tasas!D18-Datos!BF18)/Datos!BF18),(Tasas!D18-Datos!BF18)/Datos!BF18," - ")</f>
        <v>-0.22524255603880899</v>
      </c>
      <c r="K18" s="358">
        <f>IF(ISNUMBER((Tasas!E18-Datos!BG18)/Datos!BG18),(Tasas!E18-Datos!BG18)/Datos!BG18," - ")</f>
        <v>-0.19377560307812339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0.10041077133728891</v>
      </c>
      <c r="E19" s="363">
        <f>IF(ISNUMBER(
   IF(J_V="SI",(Datos!J19-Datos!T19)/Datos!T19,(Datos!J19+Datos!Z19-(Datos!T19+Datos!AH19))/(Datos!T19+Datos!AH19))
     ),IF(J_V="SI",(Datos!J19-Datos!T19)/Datos!T19,(Datos!J19+Datos!Z19-(Datos!T19+Datos!AH19))/(Datos!T19+Datos!AH19))," - ")</f>
        <v>0.28115942028985508</v>
      </c>
      <c r="F19" s="363">
        <f>IF(ISNUMBER(
   IF(J_V="SI",(Datos!K19-Datos!U19)/Datos!U19,(Datos!K19+Datos!AA19-(Datos!U19+Datos!AI19))/(Datos!U19+Datos!AI19))
     ),IF(J_V="SI",(Datos!K19-Datos!U19)/Datos!U19,(Datos!K19+Datos!AA19-(Datos!U19+Datos!AI19))/(Datos!U19+Datos!AI19))," - ")</f>
        <v>0.34615384615384615</v>
      </c>
      <c r="G19" s="364">
        <f>IF(ISNUMBER(
   IF(J_V="SI",(Datos!L19-Datos!V19)/Datos!V19,(Datos!L19+Datos!AB19-(Datos!V19+Datos!AJ19))/(Datos!V19+Datos!AJ19))
     ),IF(J_V="SI",(Datos!L19-Datos!V19)/Datos!V19,(Datos!L19+Datos!AB19-(Datos!V19+Datos!AJ19))/(Datos!V19+Datos!AJ19))," - ")</f>
        <v>0.11045531197301856</v>
      </c>
      <c r="H19" s="365">
        <f>IF(ISNUMBER((Datos!M19-Datos!W19)/Datos!W19),(Datos!M19-Datos!W19)/Datos!W19," - ")</f>
        <v>0.42222222222222222</v>
      </c>
      <c r="I19" s="362">
        <f>IF(ISNUMBER((Tasas!C19-Datos!BE19)/Datos!BE19),(Tasas!C19-Datos!BE19)/Datos!BE19," - ")</f>
        <v>-0.17509033967718624</v>
      </c>
      <c r="J19" s="363">
        <f>IF(ISNUMBER((Tasas!D19-Datos!BF19)/Datos!BF19),(Tasas!D19-Datos!BF19)/Datos!BF19," - ")</f>
        <v>-0.31593011305241514</v>
      </c>
      <c r="K19" s="364">
        <f>IF(ISNUMBER((Tasas!E19-Datos!BG19)/Datos!BG19),(Tasas!E19-Datos!BG19)/Datos!BG19," - ")</f>
        <v>-0.15039420836019235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0.13351529703795631</v>
      </c>
      <c r="E21" s="278">
        <f t="shared" si="1"/>
        <v>0.44989425592447752</v>
      </c>
      <c r="F21" s="278">
        <f t="shared" si="1"/>
        <v>0.6622295260018175</v>
      </c>
      <c r="G21" s="279">
        <f t="shared" si="1"/>
        <v>7.9115172617541224E-2</v>
      </c>
      <c r="H21" s="285">
        <f t="shared" si="1"/>
        <v>0.80830083762580884</v>
      </c>
      <c r="I21" s="277">
        <f t="shared" si="1"/>
        <v>0.14010825619126965</v>
      </c>
      <c r="J21" s="278">
        <f t="shared" si="1"/>
        <v>9.8368303576040636E-2</v>
      </c>
      <c r="K21" s="279">
        <f t="shared" si="1"/>
        <v>0.1121953835376415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r6VNqQ1DTomaRzeDB7ratnUTOQh+qVcSnr9QMy0HK2usDI4YgUTYi8gC1BOFQbFVD18BfdLGwnB7R4ud/MaXQ==" saltValue="SCsX2NrrXB1cCkD0rGhh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